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ownofcary.sharepoint.com/sites/CAMPO-Sharepoint/Shared Documents/Wake Transit/Annual-Reviews/PP&amp;E/2025 PP&amp;E Review/ExpenditureReports/Consolidated/"/>
    </mc:Choice>
  </mc:AlternateContent>
  <xr:revisionPtr revIDLastSave="21" documentId="8_{1391362A-03B4-4DCA-9A7D-7A6B90AF70D4}" xr6:coauthVersionLast="47" xr6:coauthVersionMax="47" xr10:uidLastSave="{23A61B2D-4690-49E1-8469-66E639E53BA2}"/>
  <workbookProtection workbookAlgorithmName="SHA-512" workbookHashValue="4XmQ+1/c82Nj/BuoAhaH400dVb8g0zsAu+c0pRUgVTQ+ODzObS4zcuKqJMH+Yxxwf/WnfwYnNt3Wq8o5OpEONw==" workbookSaltValue="U7/SB6eSE756AX0+FQq7ow==" workbookSpinCount="100000" lockStructure="1"/>
  <bookViews>
    <workbookView xWindow="28680" yWindow="-120" windowWidth="29040" windowHeight="15720" firstSheet="13" activeTab="19" xr2:uid="{BD20DDDE-A55A-4B7A-88BF-AEBDCA914C77}"/>
  </bookViews>
  <sheets>
    <sheet name="CAMPO Operating" sheetId="5" r:id="rId1"/>
    <sheet name="CAMPO Op Q&amp;A" sheetId="6" r:id="rId2"/>
    <sheet name="Cary Capital" sheetId="3" r:id="rId3"/>
    <sheet name="Cary Capital Q&amp;A" sheetId="4" r:id="rId4"/>
    <sheet name="Cary Operating" sheetId="2" r:id="rId5"/>
    <sheet name="Cary Operating Q&amp;A" sheetId="1" r:id="rId6"/>
    <sheet name="GoTriangle Capital" sheetId="7" r:id="rId7"/>
    <sheet name="GoTriangle Capital Q&amp;A" sheetId="8" r:id="rId8"/>
    <sheet name="GoTriangle Operating" sheetId="9" r:id="rId9"/>
    <sheet name="GoTriangle Operating Q&amp;A" sheetId="10" r:id="rId10"/>
    <sheet name="Raleigh Capital" sheetId="11" r:id="rId11"/>
    <sheet name="Raleigh Capital Q&amp;A" sheetId="12" r:id="rId12"/>
    <sheet name="Raleigh Operating" sheetId="13" r:id="rId13"/>
    <sheet name="Raleigh Op Q&amp;A" sheetId="14" r:id="rId14"/>
    <sheet name="TDA Operating" sheetId="15" r:id="rId15"/>
    <sheet name="TDA Operating Q&amp;A" sheetId="16" r:id="rId16"/>
    <sheet name="Wake Co Capital" sheetId="17" r:id="rId17"/>
    <sheet name="Wake Co Cap Q&amp;A" sheetId="18" r:id="rId18"/>
    <sheet name="WakeCoOperations" sheetId="19" r:id="rId19"/>
    <sheet name="Wake Co Op Q&amp;A" sheetId="20"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9" l="1"/>
  <c r="F5" i="19"/>
  <c r="G5" i="19"/>
  <c r="H5" i="19"/>
  <c r="I5" i="19"/>
  <c r="J5" i="19"/>
  <c r="K5" i="19"/>
  <c r="L5" i="19"/>
  <c r="M5" i="19"/>
  <c r="N5" i="19"/>
  <c r="O5" i="19"/>
  <c r="P5" i="19"/>
  <c r="Q5" i="19"/>
  <c r="R5" i="19"/>
  <c r="S5" i="19"/>
  <c r="U5" i="19"/>
  <c r="V5" i="19"/>
  <c r="E8" i="19"/>
  <c r="F8" i="19"/>
  <c r="G8" i="19"/>
  <c r="H8" i="19"/>
  <c r="I8" i="19"/>
  <c r="J8" i="19"/>
  <c r="K8" i="19"/>
  <c r="L8" i="19"/>
  <c r="M8" i="19"/>
  <c r="N8" i="19"/>
  <c r="O8" i="19"/>
  <c r="P8" i="19"/>
  <c r="Q8" i="19"/>
  <c r="R8" i="19"/>
  <c r="S8" i="19"/>
  <c r="U8" i="19"/>
  <c r="V8" i="19"/>
  <c r="I2" i="17"/>
  <c r="J2" i="17"/>
  <c r="I3" i="17"/>
  <c r="J3" i="17"/>
  <c r="I4" i="17"/>
  <c r="J4" i="17"/>
  <c r="T3" i="15"/>
  <c r="T4" i="15"/>
  <c r="T5" i="15"/>
  <c r="U6" i="15"/>
  <c r="V6" i="15"/>
  <c r="T3" i="13" l="1"/>
  <c r="T4" i="13"/>
  <c r="T5" i="13"/>
  <c r="T6" i="13"/>
  <c r="T7" i="13"/>
  <c r="T8" i="13"/>
  <c r="T9" i="13"/>
  <c r="T10" i="13"/>
  <c r="T11" i="13"/>
  <c r="T12" i="13"/>
  <c r="T13" i="13"/>
  <c r="T14" i="13"/>
  <c r="T16" i="13"/>
  <c r="T17" i="13"/>
  <c r="E18" i="13"/>
  <c r="F18" i="13"/>
  <c r="H18" i="13" s="1"/>
  <c r="G18" i="13"/>
  <c r="I18" i="13"/>
  <c r="J18" i="13"/>
  <c r="K18" i="13"/>
  <c r="L18" i="13"/>
  <c r="M18" i="13"/>
  <c r="N18" i="13"/>
  <c r="O18" i="13"/>
  <c r="P18" i="13"/>
  <c r="Q18" i="13"/>
  <c r="Q50" i="13" s="1"/>
  <c r="R18" i="13"/>
  <c r="T18" i="13" s="1"/>
  <c r="S18" i="13"/>
  <c r="S50" i="13" s="1"/>
  <c r="U18" i="13"/>
  <c r="V18" i="13"/>
  <c r="T19" i="13"/>
  <c r="T20" i="13"/>
  <c r="T21" i="13"/>
  <c r="T22" i="13"/>
  <c r="T23" i="13"/>
  <c r="T24" i="13"/>
  <c r="T25" i="13"/>
  <c r="T26" i="13"/>
  <c r="T27" i="13"/>
  <c r="T28" i="13"/>
  <c r="T29" i="13"/>
  <c r="T30" i="13"/>
  <c r="T31" i="13"/>
  <c r="T32" i="13"/>
  <c r="T33" i="13"/>
  <c r="T34" i="13"/>
  <c r="T40" i="13"/>
  <c r="T41" i="13"/>
  <c r="T43" i="13"/>
  <c r="T44" i="13"/>
  <c r="T45" i="13"/>
  <c r="T46" i="13"/>
  <c r="T47" i="13"/>
  <c r="E48" i="13"/>
  <c r="E50" i="13" s="1"/>
  <c r="F48" i="13"/>
  <c r="F50" i="13" s="1"/>
  <c r="H50" i="13" s="1"/>
  <c r="G48" i="13"/>
  <c r="G50" i="13" s="1"/>
  <c r="H48" i="13"/>
  <c r="I48" i="13"/>
  <c r="I50" i="13" s="1"/>
  <c r="J48" i="13"/>
  <c r="J50" i="13" s="1"/>
  <c r="L50" i="13" s="1"/>
  <c r="K48" i="13"/>
  <c r="K50" i="13" s="1"/>
  <c r="L48" i="13"/>
  <c r="M48" i="13"/>
  <c r="M50" i="13" s="1"/>
  <c r="N48" i="13"/>
  <c r="N50" i="13" s="1"/>
  <c r="P50" i="13" s="1"/>
  <c r="O48" i="13"/>
  <c r="O50" i="13" s="1"/>
  <c r="P48" i="13"/>
  <c r="Q48" i="13"/>
  <c r="R48" i="13"/>
  <c r="T48" i="13" s="1"/>
  <c r="S48" i="13"/>
  <c r="U48" i="13"/>
  <c r="U50" i="13" s="1"/>
  <c r="V48" i="13"/>
  <c r="V50" i="13" s="1"/>
  <c r="R50" i="13"/>
  <c r="T50" i="13" s="1"/>
  <c r="H3" i="11" l="1"/>
  <c r="I3" i="11"/>
  <c r="F4" i="11"/>
  <c r="H4" i="11"/>
  <c r="I4" i="11"/>
  <c r="H5" i="11"/>
  <c r="I5" i="11"/>
  <c r="J5" i="11"/>
  <c r="F6" i="11"/>
  <c r="H6" i="11"/>
  <c r="I6" i="11"/>
  <c r="H7" i="11"/>
  <c r="I7" i="11"/>
  <c r="H8" i="11"/>
  <c r="I8" i="11"/>
  <c r="H9" i="11"/>
  <c r="I9" i="11"/>
  <c r="H10" i="11"/>
  <c r="I10" i="11"/>
  <c r="H11" i="11"/>
  <c r="I11" i="11"/>
  <c r="H12" i="11"/>
  <c r="I12" i="11"/>
  <c r="H13" i="11"/>
  <c r="I13" i="11"/>
  <c r="H14" i="11"/>
  <c r="I14" i="11"/>
  <c r="H15" i="11"/>
  <c r="I15" i="11"/>
  <c r="F16" i="11"/>
  <c r="H16" i="11"/>
  <c r="I16" i="11"/>
  <c r="J16" i="11"/>
  <c r="H17" i="11"/>
  <c r="I17" i="11"/>
  <c r="F18" i="11"/>
  <c r="H18" i="11"/>
  <c r="I18" i="11"/>
  <c r="F19" i="11"/>
  <c r="H19" i="11"/>
  <c r="I19" i="11"/>
  <c r="F20" i="11"/>
  <c r="H20" i="11"/>
  <c r="I20" i="11"/>
  <c r="H21" i="11"/>
  <c r="I21" i="11"/>
  <c r="H22" i="11"/>
  <c r="I22" i="11"/>
  <c r="S3" i="9"/>
  <c r="T3" i="9"/>
  <c r="S4" i="9"/>
  <c r="S12" i="9" s="1"/>
  <c r="T4" i="9"/>
  <c r="S5" i="9"/>
  <c r="T5" i="9"/>
  <c r="S6" i="9"/>
  <c r="T6" i="9"/>
  <c r="S7" i="9"/>
  <c r="T7" i="9"/>
  <c r="S8" i="9"/>
  <c r="T8" i="9"/>
  <c r="S9" i="9"/>
  <c r="T9" i="9"/>
  <c r="S10" i="9"/>
  <c r="S11" i="9"/>
  <c r="E12" i="9"/>
  <c r="F12" i="9"/>
  <c r="G12" i="9"/>
  <c r="H12" i="9"/>
  <c r="I12" i="9"/>
  <c r="J12" i="9"/>
  <c r="K12" i="9"/>
  <c r="L12" i="9"/>
  <c r="M12" i="9"/>
  <c r="N12" i="9"/>
  <c r="O12" i="9"/>
  <c r="P12" i="9"/>
  <c r="Q12" i="9"/>
  <c r="T12" i="9" s="1"/>
  <c r="R12" i="9"/>
  <c r="U12" i="9"/>
  <c r="V12" i="9"/>
  <c r="S14" i="9"/>
  <c r="T14" i="9"/>
  <c r="S15" i="9"/>
  <c r="T15" i="9"/>
  <c r="S16" i="9"/>
  <c r="S29" i="9" s="1"/>
  <c r="T16" i="9"/>
  <c r="S17" i="9"/>
  <c r="T17" i="9"/>
  <c r="S18" i="9"/>
  <c r="T18" i="9"/>
  <c r="S19" i="9"/>
  <c r="T19" i="9"/>
  <c r="S22" i="9"/>
  <c r="T22" i="9"/>
  <c r="S23" i="9"/>
  <c r="T23" i="9"/>
  <c r="S24" i="9"/>
  <c r="T24" i="9"/>
  <c r="S25" i="9"/>
  <c r="T25" i="9"/>
  <c r="S27" i="9"/>
  <c r="T27" i="9"/>
  <c r="S28" i="9"/>
  <c r="T28" i="9"/>
  <c r="E29" i="9"/>
  <c r="E31" i="9" s="1"/>
  <c r="F29" i="9"/>
  <c r="F31" i="9" s="1"/>
  <c r="H31" i="9" s="1"/>
  <c r="G29" i="9"/>
  <c r="H29" i="9"/>
  <c r="I29" i="9"/>
  <c r="I31" i="9" s="1"/>
  <c r="J29" i="9"/>
  <c r="J31" i="9" s="1"/>
  <c r="L31" i="9" s="1"/>
  <c r="K29" i="9"/>
  <c r="K31" i="9" s="1"/>
  <c r="L29" i="9"/>
  <c r="M29" i="9"/>
  <c r="M31" i="9" s="1"/>
  <c r="N29" i="9"/>
  <c r="P29" i="9" s="1"/>
  <c r="O29" i="9"/>
  <c r="O31" i="9" s="1"/>
  <c r="Q29" i="9"/>
  <c r="R29" i="9"/>
  <c r="R31" i="9" s="1"/>
  <c r="T31" i="9" s="1"/>
  <c r="T29" i="9"/>
  <c r="U29" i="9"/>
  <c r="V29" i="9"/>
  <c r="G31" i="9"/>
  <c r="Q31" i="9"/>
  <c r="U31" i="9"/>
  <c r="V31" i="9"/>
  <c r="S31" i="9" l="1"/>
  <c r="N31" i="9"/>
  <c r="P31" i="9" s="1"/>
  <c r="H3" i="7"/>
  <c r="I3" i="7"/>
  <c r="K3" i="7"/>
  <c r="H4" i="7"/>
  <c r="I4" i="7"/>
  <c r="J4" i="7"/>
  <c r="H5" i="7"/>
  <c r="I5" i="7"/>
  <c r="H6" i="7"/>
  <c r="I6" i="7"/>
  <c r="H7" i="7"/>
  <c r="I7" i="7"/>
  <c r="H8" i="7"/>
  <c r="I8" i="7"/>
  <c r="H9" i="7"/>
  <c r="I9" i="7"/>
  <c r="J9" i="7"/>
  <c r="K9" i="7"/>
  <c r="H10" i="7"/>
  <c r="I10" i="7"/>
  <c r="H11" i="7"/>
  <c r="I11" i="7"/>
  <c r="H12" i="7"/>
  <c r="I12" i="7"/>
  <c r="H13" i="7"/>
  <c r="I13" i="7"/>
  <c r="H14" i="7"/>
  <c r="I14" i="7"/>
  <c r="E5" i="5"/>
  <c r="F5" i="5"/>
  <c r="G5" i="5"/>
  <c r="I5" i="5"/>
  <c r="J5" i="5"/>
  <c r="K5" i="5"/>
  <c r="M5" i="5"/>
  <c r="N5" i="5"/>
  <c r="O5" i="5"/>
  <c r="Q5" i="5"/>
  <c r="R5" i="5"/>
  <c r="S5" i="5"/>
  <c r="U5" i="5"/>
  <c r="V5" i="5"/>
  <c r="H3" i="3"/>
  <c r="I3" i="3"/>
  <c r="H4" i="3"/>
  <c r="I4" i="3"/>
  <c r="H5" i="3"/>
  <c r="I5" i="3"/>
  <c r="H6" i="3"/>
  <c r="I6" i="3"/>
  <c r="S3" i="2"/>
  <c r="T3" i="2"/>
  <c r="S4" i="2"/>
  <c r="T4" i="2"/>
  <c r="S5" i="2"/>
  <c r="T5" i="2"/>
  <c r="S6" i="2"/>
  <c r="T6" i="2"/>
  <c r="S7" i="2"/>
  <c r="T7" i="2"/>
  <c r="S8" i="2"/>
  <c r="T8" i="2"/>
  <c r="S9" i="2"/>
  <c r="E10" i="2"/>
  <c r="F10" i="2"/>
  <c r="F25" i="2" s="1"/>
  <c r="H25" i="2" s="1"/>
  <c r="G10" i="2"/>
  <c r="G25" i="2" s="1"/>
  <c r="I10" i="2"/>
  <c r="I25" i="2" s="1"/>
  <c r="J10" i="2"/>
  <c r="L10" i="2" s="1"/>
  <c r="K10" i="2"/>
  <c r="K25" i="2" s="1"/>
  <c r="M10" i="2"/>
  <c r="N10" i="2"/>
  <c r="O10" i="2"/>
  <c r="O25" i="2" s="1"/>
  <c r="P10" i="2"/>
  <c r="Q10" i="2"/>
  <c r="Q25" i="2" s="1"/>
  <c r="R10" i="2"/>
  <c r="R25" i="2" s="1"/>
  <c r="T25" i="2" s="1"/>
  <c r="U10" i="2"/>
  <c r="U25" i="2" s="1"/>
  <c r="V10" i="2"/>
  <c r="V25" i="2" s="1"/>
  <c r="S12" i="2"/>
  <c r="T12" i="2"/>
  <c r="S13" i="2"/>
  <c r="T13" i="2"/>
  <c r="S14" i="2"/>
  <c r="T14" i="2"/>
  <c r="S15" i="2"/>
  <c r="T15" i="2"/>
  <c r="S16" i="2"/>
  <c r="T16" i="2"/>
  <c r="S17" i="2"/>
  <c r="T17" i="2"/>
  <c r="S18" i="2"/>
  <c r="T18" i="2"/>
  <c r="S19" i="2"/>
  <c r="T19" i="2"/>
  <c r="S20" i="2"/>
  <c r="T20" i="2"/>
  <c r="S21" i="2"/>
  <c r="T21" i="2"/>
  <c r="S22" i="2"/>
  <c r="E23" i="2"/>
  <c r="F23" i="2"/>
  <c r="H23" i="2" s="1"/>
  <c r="G23" i="2"/>
  <c r="I23" i="2"/>
  <c r="J23" i="2"/>
  <c r="K23" i="2"/>
  <c r="M23" i="2"/>
  <c r="N23" i="2"/>
  <c r="O23" i="2"/>
  <c r="P23" i="2"/>
  <c r="Q23" i="2"/>
  <c r="R23" i="2"/>
  <c r="T23" i="2"/>
  <c r="U23" i="2"/>
  <c r="V23" i="2"/>
  <c r="E25" i="2"/>
  <c r="M25" i="2"/>
  <c r="N25" i="2"/>
  <c r="P25" i="2" s="1"/>
  <c r="H10" i="2" l="1"/>
  <c r="J25" i="2"/>
  <c r="S23" i="2"/>
  <c r="T10" i="2"/>
  <c r="S10" i="2"/>
  <c r="L25" i="2"/>
  <c r="S25" i="2"/>
  <c r="L23" i="2"/>
</calcChain>
</file>

<file path=xl/sharedStrings.xml><?xml version="1.0" encoding="utf-8"?>
<sst xmlns="http://schemas.openxmlformats.org/spreadsheetml/2006/main" count="884" uniqueCount="443">
  <si>
    <t>FY22</t>
  </si>
  <si>
    <t>FY23</t>
  </si>
  <si>
    <t>FY24</t>
  </si>
  <si>
    <t>FY25*</t>
  </si>
  <si>
    <t>FY26</t>
  </si>
  <si>
    <t>FY27</t>
  </si>
  <si>
    <t>Provider</t>
  </si>
  <si>
    <t>Category</t>
  </si>
  <si>
    <t>Project Title</t>
  </si>
  <si>
    <t>Project ID</t>
  </si>
  <si>
    <t>Budget</t>
  </si>
  <si>
    <t>Actual</t>
  </si>
  <si>
    <t>Variance ($)</t>
  </si>
  <si>
    <t>Variance (%)</t>
  </si>
  <si>
    <t>Variance ($)*</t>
  </si>
  <si>
    <t>Variance (%)*</t>
  </si>
  <si>
    <t>Cary</t>
  </si>
  <si>
    <t xml:space="preserve">Transit Plan Administration </t>
  </si>
  <si>
    <t>1.0 FTE: Transit Project Manager</t>
  </si>
  <si>
    <t>TO002-N</t>
  </si>
  <si>
    <t xml:space="preserve">For all staffing: The staffing projects are all overbudget when looking at a weighted variance for 3 quarters. Is the amount provided for the staffing projects appropriate? </t>
  </si>
  <si>
    <t>1.0 FTE: Transit Analyst</t>
  </si>
  <si>
    <t>TO002-AC</t>
  </si>
  <si>
    <t>1.0 FTE: Transit Program Coordinator</t>
  </si>
  <si>
    <t>TO002-AD</t>
  </si>
  <si>
    <t>0.5 FTE: Assistant Transit Administrator</t>
  </si>
  <si>
    <t>TO002-AE</t>
  </si>
  <si>
    <t>1.0 FTE: Transit Public Outreach Specialist</t>
  </si>
  <si>
    <t>TO002-AR</t>
  </si>
  <si>
    <t>1.0 FTE: Senior Transit Planner for Capital</t>
  </si>
  <si>
    <t>TO002-AV</t>
  </si>
  <si>
    <t>Marketing of Bus Services</t>
  </si>
  <si>
    <t>TO002-M</t>
  </si>
  <si>
    <t xml:space="preserve">This project has consistently been fully utilized. Is the funding amount for this project appropriate? </t>
  </si>
  <si>
    <t>Total Transit Plan Administration</t>
  </si>
  <si>
    <t>Transit Operations</t>
  </si>
  <si>
    <t>Sunday and Holiday Service</t>
  </si>
  <si>
    <t>TO004-A</t>
  </si>
  <si>
    <t>Increase Midday Frequencies</t>
  </si>
  <si>
    <t>TO004-B</t>
  </si>
  <si>
    <t xml:space="preserve">This route is overbudget for where it is in the FY (Q3). Is the funding amount for this project appropriate? </t>
  </si>
  <si>
    <t>Weston Parkway Route</t>
  </si>
  <si>
    <t>TO005-H</t>
  </si>
  <si>
    <t>Route ACX: Apex-Cary Express</t>
  </si>
  <si>
    <t>TO005-BE</t>
  </si>
  <si>
    <t>New Route 11 East Cary</t>
  </si>
  <si>
    <t>TO005-BS</t>
  </si>
  <si>
    <t xml:space="preserve">Is the implementation of routes 11 and 12 delayed? They have not sought reimbursement and have larger budgeted amounts in future years. </t>
  </si>
  <si>
    <t>New Route 12 - Apex-Cary</t>
  </si>
  <si>
    <t>TO005-BT</t>
  </si>
  <si>
    <t>ADA Services</t>
  </si>
  <si>
    <t>TO005-BI</t>
  </si>
  <si>
    <t>Fare Collection Technology</t>
  </si>
  <si>
    <t>TO005-O</t>
  </si>
  <si>
    <t>Bus Stop Maintenance</t>
  </si>
  <si>
    <t>TO005-CG</t>
  </si>
  <si>
    <t>Security Services</t>
  </si>
  <si>
    <t>TO005-CK</t>
  </si>
  <si>
    <t>Youth GoPass Program</t>
  </si>
  <si>
    <t>TO005-L2</t>
  </si>
  <si>
    <t>Total Transit Operations</t>
  </si>
  <si>
    <t>Total Operation</t>
  </si>
  <si>
    <t xml:space="preserve">Review Questions </t>
  </si>
  <si>
    <t>Provider Response</t>
  </si>
  <si>
    <t>At the end of Q4 all staffing projects came in just below budget.</t>
  </si>
  <si>
    <t>The marketing of GoCary services has been very successful and led to increased name recognition and ridership.  Increased marketing funding would be welcome, particularly prior to and immediately after service expansion.  We would support tying increased marketing funding to budgeted fixed route services.</t>
  </si>
  <si>
    <t>Variances across projects exists due to allocation methodologies, however at the end of Q4 all bus operations projects came in just below budget.</t>
  </si>
  <si>
    <t>Routes 11 and 12 will be future Routes 2 and 9, and have been delayed to a November 1, 2025 implementation date.</t>
  </si>
  <si>
    <t>FY25</t>
  </si>
  <si>
    <t>TC002-AW</t>
  </si>
  <si>
    <t>Park West Village Transfer Point Improvements</t>
  </si>
  <si>
    <t>TC002-R</t>
  </si>
  <si>
    <t>Bus Stop Improvements</t>
  </si>
  <si>
    <t>TC002-F</t>
  </si>
  <si>
    <t>Multimodal Transit Facility</t>
  </si>
  <si>
    <t>TC002-E</t>
  </si>
  <si>
    <t>Regional Bus Operation &amp; Maint Facility</t>
  </si>
  <si>
    <t>FY27 (Programmed in CIP)</t>
  </si>
  <si>
    <t>FY26 Allocation</t>
  </si>
  <si>
    <t>Total Variance (%)</t>
  </si>
  <si>
    <t>Total Variance ($)</t>
  </si>
  <si>
    <t>Most Recent Allocation (FY)</t>
  </si>
  <si>
    <t>Most Recent Allocation ($)</t>
  </si>
  <si>
    <t>Remaining Funding</t>
  </si>
  <si>
    <t>Total Spent FY18-FY25Q3</t>
  </si>
  <si>
    <t>Total Funding FY18-FY25</t>
  </si>
  <si>
    <t>PP&amp;E Review 2025 - Cary Capital Projects</t>
  </si>
  <si>
    <t>This project has not yet been designed, we are currently coordinating with Town of Morrisville staff.</t>
  </si>
  <si>
    <t xml:space="preserve">Did the project bid consolidation allow the minimization of further delay? Was construction on this project able to begin in April? </t>
  </si>
  <si>
    <t xml:space="preserve">Cary is now getting ready to start the master planning process which is expected to take 8-10 months. The master planning process will give Cary an idea of other uses that might make sense on the site, in addition to transit, and will help guide the design process. Demolition is expected to begin in early 2026 and design is anticipated to begin in summer of 2026.  We will not have an updated cost estimate until we get into the design process, but it is anticipated to be more than the $60M estimate from several years ago. </t>
  </si>
  <si>
    <t xml:space="preserve">Has the required asbestos abatement caused project delays? What progress is expected in FY26? Is the project on schedule for the $60,000,000 programmed for FY27? </t>
  </si>
  <si>
    <t>The project has not yet gone out to bid pending final bid document development.  It is anticipated the project will go out to bid later this year.</t>
  </si>
  <si>
    <t>The last update for this project was that the project will go out for bid in Summer 2025. Has this gone out for bid? What progress are you planning for in FY26?</t>
  </si>
  <si>
    <t>Review Questions</t>
  </si>
  <si>
    <t>TO002-AY</t>
  </si>
  <si>
    <t>Administrative Expenses</t>
  </si>
  <si>
    <t>TO002-BE</t>
  </si>
  <si>
    <t>4.0 FTE: Wake Transit Staff</t>
  </si>
  <si>
    <t>CAMPO</t>
  </si>
  <si>
    <t xml:space="preserve">Yes - this line is used for legal expenses that CAMPO may incur as well as expenses related to the Wake Transit Tracker (which will see a major update in FY26) and updates to the Wake Transit Work Plans. </t>
  </si>
  <si>
    <t xml:space="preserve">Do you anticipate the need to continue funding at this level? </t>
  </si>
  <si>
    <t xml:space="preserve">Both - We did not become fully-staffed until the end of FY24, and we have seen savings in overhead through reduced travel and training.  We expect to be closer to budgeted funding for staffing in FY26.  </t>
  </si>
  <si>
    <t>Actual expenditures over the past few years have consistently come in below budget. Would you attribute this primarily to overhead savings or delays in staffing?</t>
  </si>
  <si>
    <t>Agency Response</t>
  </si>
  <si>
    <t>Review Question</t>
  </si>
  <si>
    <t>TC001-Q</t>
  </si>
  <si>
    <t>Operation Support Vehicles</t>
  </si>
  <si>
    <t>TC001-N</t>
  </si>
  <si>
    <t>Paratransit Expansion Vehicles</t>
  </si>
  <si>
    <t>TC001-D</t>
  </si>
  <si>
    <t>Bus Purchases (FY19 &amp; FY23)</t>
  </si>
  <si>
    <t>FY20</t>
  </si>
  <si>
    <t>TC002-AB</t>
  </si>
  <si>
    <t>Mobile Ticketing Technology</t>
  </si>
  <si>
    <t>TC002-AK</t>
  </si>
  <si>
    <t>Downtown Apex Transfer Point</t>
  </si>
  <si>
    <t>TC002-N</t>
  </si>
  <si>
    <t>Triangle Mobility Hub</t>
  </si>
  <si>
    <t>TC002-BP</t>
  </si>
  <si>
    <t>TC002-Y</t>
  </si>
  <si>
    <t>TC002-M</t>
  </si>
  <si>
    <t>TC002-AI</t>
  </si>
  <si>
    <t>District Drive Park-and-Ride</t>
  </si>
  <si>
    <t>TC002-B</t>
  </si>
  <si>
    <t>TC002-A</t>
  </si>
  <si>
    <t>Raleigh Union Station Bus Facility</t>
  </si>
  <si>
    <t>PP&amp;E Review 2025 - GoTriangle Capital Projects</t>
  </si>
  <si>
    <t>Yes.  We are agressively working to upgrade our fleet with multiple funding sources with at least $1,000,000 per year in 5307 + local match funds; the only unknown is how new trade policies at the national level may impact wait times for delivery of new buses.</t>
  </si>
  <si>
    <t xml:space="preserve">Is GoTriangle prepared for utilizing the funding programmed in FY27 in that fiscal year? </t>
  </si>
  <si>
    <t>Future priorities for this project will be guided by the Regional Technology Plan. Potential expenses may include Fare Payment equipment to enable open payments (credit card taps) and BRT fare payments</t>
  </si>
  <si>
    <t xml:space="preserve">This project was funded in FY20. Six years later only half of the budget has been expended. COVID and being fare free had large impacts on this. What is the future for this project? </t>
  </si>
  <si>
    <t>Oh yes, significant delays and cost escalation.  The Old Raleigh Road sidewalk portion had to go back to FTA for NEPA clearance for a small right of way corner needed to connect to the existing sidewalk; the project is in permitting with the Town of Apex and real estate negotiations with the affected property owner. The southbound bus stop is in design, and the Mason street sidewalk portion was dropped due to cost. The NB stop flatwork was completed by the Town of Apex and shelter installation schedlule is pending.</t>
  </si>
  <si>
    <t xml:space="preserve">Is this project progressing as planned? Have there been delays? </t>
  </si>
  <si>
    <t>Yes.  Developer partner has been chosen and NEPA documentation is in progress.  Working with RTF to document property interest.</t>
  </si>
  <si>
    <t xml:space="preserve">Is this project on schedule enough to continue to need the $4,330,200 allocated in FY27? </t>
  </si>
  <si>
    <t>This includes estimated construction costs for all the stops on route 311 due to be reinstated in FY 27.  So yes.  Those stops are being assigned to design queues this summer (if not already).  Carry over includes match for FY 25 LAPP and TIG stops in East Wake (maybe others...would have to check against -M)</t>
  </si>
  <si>
    <t xml:space="preserve">In FY26 this project received an allocation of $2,632,440. This project has $328,983 programmed for FY27. Will this project be progressing enough for this allocation to continue to be warranted? </t>
  </si>
  <si>
    <t>It is consolidated into -BP moving forward.  There are legacy stop improvments still in the pipeline and thus it remains on the books untill they are closed out.</t>
  </si>
  <si>
    <t xml:space="preserve">What is the greater status of this project? In FY25 $333,188 expired and was removed from the project. What was the reason behind not renewing the agreement/funds in this project? </t>
  </si>
  <si>
    <t>These kinds of capital projects continue to be problematic in that the design and permitting take so long, but it can be an issue to incur expenses for design and permitting without committed construction funding, and this is true of many programs. However, for this particular project we anticipate construction bids this winter or early spring and construction to be under way by late spring/early summer.</t>
  </si>
  <si>
    <t xml:space="preserve">There have been minimal expenditures for this project. Is there a reason that the funds for this project were allocated in a lump sum instead of being spread out on a programmed schedule? </t>
  </si>
  <si>
    <t>A key takeaway from this project’s success was starting with a well-developed budget that included appropriate contingency to address potential risks. From there, GoTriangle worked closely with our design and construction partners to actively manage the project throughout its life cycle. Regular cost estimating, thorough design reviews, targeted value engineering, careful selection of materials and components, and diligent oversight of construction were all pivotal in maintaining the budget. Clear communication of critical project objectives, shared early and reinforced often, helped align all partners toward the same goals, enabling timely decision-making and collaborative problem-solving. This disciplined approach to scope, budget, and schedule can be applied to future capital projects to improve the likelihood of similar success</t>
  </si>
  <si>
    <t>With this project being completed ahead of schedule and under budget, do you have any takeaways from the success of this project, its timeliness, and budget discipline that could be applied to other capital projects?</t>
  </si>
  <si>
    <t>Questions (For reference only, please use Q&amp;A tab for responses)</t>
  </si>
  <si>
    <t>Total Operations</t>
  </si>
  <si>
    <t>TO005-CI</t>
  </si>
  <si>
    <t>Low Income Fare Pass</t>
  </si>
  <si>
    <t>TO005-L1</t>
  </si>
  <si>
    <t xml:space="preserve">Youth GoPass </t>
  </si>
  <si>
    <t>TC005-CL</t>
  </si>
  <si>
    <t>Raleigh Union Station Facility O&amp;M</t>
  </si>
  <si>
    <t>TO005-F</t>
  </si>
  <si>
    <t>Park &amp; Ride Bus Stop Leases O&amp;M</t>
  </si>
  <si>
    <t>TO005-Y</t>
  </si>
  <si>
    <t>Mobile Ticketing Software</t>
  </si>
  <si>
    <t>TO005-E</t>
  </si>
  <si>
    <t>Regional Call Center Expansion</t>
  </si>
  <si>
    <t>TO005-BH</t>
  </si>
  <si>
    <t>TO005-BR</t>
  </si>
  <si>
    <t xml:space="preserve">Route ZWX Improvements </t>
  </si>
  <si>
    <t>TO005-BQ</t>
  </si>
  <si>
    <t>Route 311 Apex-RTC-Cary</t>
  </si>
  <si>
    <t>TO005-AC</t>
  </si>
  <si>
    <t>Route 305: Holly Springs-Apex-Raleigh</t>
  </si>
  <si>
    <t>TO005-X</t>
  </si>
  <si>
    <t>Route 310: Cary-RTC</t>
  </si>
  <si>
    <t>TO005-D</t>
  </si>
  <si>
    <t>CRX: Chapel Hill-Raleigh Express</t>
  </si>
  <si>
    <t>TO005-C</t>
  </si>
  <si>
    <t>DRX : Durham-Raleigh Express</t>
  </si>
  <si>
    <t>TO005-B</t>
  </si>
  <si>
    <t>Route 300: Cary-Raleigh</t>
  </si>
  <si>
    <t>TO005-A</t>
  </si>
  <si>
    <t>Route 100 : RTC-RDU Airport</t>
  </si>
  <si>
    <t>TO002-BJ</t>
  </si>
  <si>
    <t>TO002-J</t>
  </si>
  <si>
    <t>Regional Call Center CMS Technology</t>
  </si>
  <si>
    <t>TO002-AA</t>
  </si>
  <si>
    <t>Paratransit Office Space Lease</t>
  </si>
  <si>
    <t>TO002-D</t>
  </si>
  <si>
    <t>Outreach/Marketing/Communications</t>
  </si>
  <si>
    <t>TO002-I</t>
  </si>
  <si>
    <t>Property Maintenance, Repairs, &amp; Appraisals</t>
  </si>
  <si>
    <t>TO002-F</t>
  </si>
  <si>
    <t>Transit Customer Surveys</t>
  </si>
  <si>
    <t>TO002-C</t>
  </si>
  <si>
    <t>Outside Legal Counsel</t>
  </si>
  <si>
    <t>TO002-AX</t>
  </si>
  <si>
    <t>NCSU Triangle Regional Model Service</t>
  </si>
  <si>
    <t>TO002-BD</t>
  </si>
  <si>
    <t>Transit Plan Administration Staffing</t>
  </si>
  <si>
    <t>GoTriangle</t>
  </si>
  <si>
    <t xml:space="preserve">GoTriangle continues to administer our Youth GoPass program. We have only been collecting fares for one year since the Covid, our GoPass programs (including Youth GoPass) continue to evolve and grow. We plan to increase our outreach efforts to schools and libraries, and expect rider participation in the Youth GoPass will continue to increase. We will update the next quarter's progress report to reflect our FY25 return to fares. </t>
  </si>
  <si>
    <t xml:space="preserve">Can you provide an update for the Youth GoPass? Wake County has closed out their project, and GoRaleigh appears to not be utilizing the funds for the Youth GoPass. The reimbursements for this appear to be low. Is the budgeted amount for FY27 appropriate for this project? Are there outreach efforts to places (schools, libraries) on the existence of the Youth GoPass? The project description in the progress reports is also outdated. </t>
  </si>
  <si>
    <t>This program is due for a revisit; we don't have specific amounts at this time but agree we can revise this based on recent actual costs</t>
  </si>
  <si>
    <t xml:space="preserve">Are expenditures for this project consistent? It appears that in previous years variance was consistently low. Is the budgeted amount in FY27 still appropriate? </t>
  </si>
  <si>
    <t xml:space="preserve">Phase 1 of Route 305 expansion was partially implemented on August 18, 2024 and fully implemented on March 9, 2025. The programmed Phase 2 of Route 305 expansion will require the amount programmed in FY27,as esitmated by the finanical model for the 2023 Bus Plan. Route 305 will operate at full service throughout the duration of FY26 and will be closer to budget. We did find savings in operation of phase 1 of the route (2 buses off-peak instead of 2.5, 3 buses at peak instead of 3.5), but Phase 2 expansion will require a new schedule and timetable and will likely require the amount budgeted in FY27.   </t>
  </si>
  <si>
    <t xml:space="preserve">This project has consistently been far under budget. It is being doubled in FY27. Is this budgeted amount appropriate for the project? </t>
  </si>
  <si>
    <t>From FY22 to March 8, 2025 Route 310 was running reduced service. Full implementation of 310 weekday expansion was implemented on March 9, 2025.</t>
  </si>
  <si>
    <t xml:space="preserve">This project has consistently only used ~50% of its budget. Is the budgeted amount appropriate for this project? </t>
  </si>
  <si>
    <t>In FY22-FY24 Route CRX was operating with reduced service. In FY25, Route CRX was operating all trips, but was undertimed and therefore not using full proect budget. We expect to use the full budget in FY26 with implementation of August 3, 2025 service changes which added revenue hours for additional schedule recovery into the schedule to improve reliability matching the scope of this project.</t>
  </si>
  <si>
    <t>This project has a consistently large variance. Is the budgeted amount for this project appropriate in FY27?</t>
  </si>
  <si>
    <t>FY25 Route 300 expansion was implemented on March 9, 2025. We expect to use the full budget in FY26, including FY26 expansion.</t>
  </si>
  <si>
    <t xml:space="preserve">This project's expenditures seem to be lagging. Is this due to delay in expenditures for reimbursement? </t>
  </si>
  <si>
    <t>Yes--we are adding RUS bus to the maintenance and repairs budget along with new bus stop infrastructure as our projects finally start to move into construction late this FY or early FY 27</t>
  </si>
  <si>
    <t xml:space="preserve">This project is consistently quite under budget. Is the programmed amount for FY27 appropriate for this project? </t>
  </si>
  <si>
    <t>The amount is still apppropriate; cost increses with platform are already a known factor</t>
  </si>
  <si>
    <t xml:space="preserve">Funds for this are being used for PublicInput, but are also cited in TO002-D. Are these for different aspects of the publicinput platform? This project is also consistently underbudget. Is the programmed amount for FY27 appropriate? </t>
  </si>
  <si>
    <t xml:space="preserve">Provider Response </t>
  </si>
  <si>
    <t xml:space="preserve">GoTriangle 2025 PP&amp;E Review - Operating Projects </t>
  </si>
  <si>
    <t>TC001-M</t>
  </si>
  <si>
    <t>TC001-L</t>
  </si>
  <si>
    <t>Support Vehicles</t>
  </si>
  <si>
    <t>TC001-J</t>
  </si>
  <si>
    <t>Paratransit Replacement Vehicles</t>
  </si>
  <si>
    <t>TC001-F</t>
  </si>
  <si>
    <t>Purchase 40-Foot Buses</t>
  </si>
  <si>
    <t>TC001-E</t>
  </si>
  <si>
    <t>TC002-BQ</t>
  </si>
  <si>
    <t>TC002-BI</t>
  </si>
  <si>
    <t>Maintenance Facility Improvements</t>
  </si>
  <si>
    <t>TC002-BG</t>
  </si>
  <si>
    <t xml:space="preserve">Systemwide Transfer Point Improvements </t>
  </si>
  <si>
    <t>TC002-AX</t>
  </si>
  <si>
    <t>Triangle Town Center - Relocation</t>
  </si>
  <si>
    <t>TC002-AM</t>
  </si>
  <si>
    <t>Triangle Town Center - Design</t>
  </si>
  <si>
    <t>TC002-AL</t>
  </si>
  <si>
    <t>Crabtree Valley Mall Transit Center</t>
  </si>
  <si>
    <t>TC002-AC</t>
  </si>
  <si>
    <t>Midtown Transit Center</t>
  </si>
  <si>
    <t>TC002-V</t>
  </si>
  <si>
    <t>ADA Facility (Feasibility &amp; Design)</t>
  </si>
  <si>
    <t>TC002-T</t>
  </si>
  <si>
    <t>East Raleigh Comm Transit Center</t>
  </si>
  <si>
    <t>FY18</t>
  </si>
  <si>
    <t>TC002-G</t>
  </si>
  <si>
    <t>Poole Road Park-and-Ride</t>
  </si>
  <si>
    <t>TC005-A5</t>
  </si>
  <si>
    <t>BRT - Midtown</t>
  </si>
  <si>
    <t>TC005-A4</t>
  </si>
  <si>
    <t>BRT - Triangle Town</t>
  </si>
  <si>
    <t>TC005-A3</t>
  </si>
  <si>
    <t>BRT - Western Corridor</t>
  </si>
  <si>
    <t>TC005-A2</t>
  </si>
  <si>
    <t>BRT - Southern Corridor</t>
  </si>
  <si>
    <t>TC005-A1</t>
  </si>
  <si>
    <t>BRT - New Bern Corridor</t>
  </si>
  <si>
    <t>PP&amp;E Review 2025 - Raleigh Capital Projects</t>
  </si>
  <si>
    <t xml:space="preserve">Yes the city will be prepared to purchase vehicles as our contract cycle should be finished with a grant awarded prior to start of FY27. </t>
  </si>
  <si>
    <t xml:space="preserve">General for all bus acquisition: Is Raleigh prepared for project initiation in FY27 for the funding programmed in that FY for bus acquisition projects? </t>
  </si>
  <si>
    <t xml:space="preserve">Do we want to delay this project? And if so would we just request when we need additional funds? </t>
  </si>
  <si>
    <t xml:space="preserve">This project received an allocation of $2,743,000 for FY26. For FY27, the project is programmed to receive $1,997,000. Is this project in good shape for this allocation or could it be delayed until more progress is made on current bus stop improvement projects? </t>
  </si>
  <si>
    <t>This project is currently under design with WSP. ASR has been approved and 90% design has been completed. In FY26 Q1, we are expecting to receive SPR approval and 100% designs. We are close to 100% design and on track to bid out for construction in Feb/March '26.</t>
  </si>
  <si>
    <t xml:space="preserve">Has the design phase for this project been completed? What activity do you forsee occurring in this project for FY26? Have there been any setbacks that could cause delay?  </t>
  </si>
  <si>
    <t xml:space="preserve">Set 9 Bus Stop Improvement Project  was bid out with the lowest responsible bidder  being Whitley Construction. This contract is heading to city council for review on August 19th. </t>
  </si>
  <si>
    <t xml:space="preserve">What was the cause for delay in getting the RFPs out in FY25? Have they been resolved and the RFPs put out for bid? </t>
  </si>
  <si>
    <t xml:space="preserve">Negotiations with the property owner continued in Q4. The property owner both has copious restrictived covenants on the property and wants more than double what the property appraised for. We are currently examining alternative properties in the area. </t>
  </si>
  <si>
    <t>How has the delay due to staffing shortages affected the project (e.g. timeline, real estate costs, other cost estimates)? Where is the City with the negotiations with the project owner?</t>
  </si>
  <si>
    <t>Staffing shortages have been filled alloowing for some progress on the project. This project will be included in the Triangle Town Center Transit Center (renamed to North Raleigh Transit Center) once the property has been secured and design can begin.</t>
  </si>
  <si>
    <t xml:space="preserve">Similar to the Crabtree Valley Mall Transit Center, this project experienced delays from staffing shortages that have now been filled. </t>
  </si>
  <si>
    <t xml:space="preserve">No RFP has been released since Crabtree Valley Mall was sold. The general manager changed along with the sale, in June 2025. Outreach to management and owners has started over, delaying this project.  </t>
  </si>
  <si>
    <t xml:space="preserve">This project was allocated all of its funding in FY22 with no reimbursements. Some of the setbacks for this project going beyond planning has been staffing shortages which have since been resolved. The City planned to release an RFP for this project in FY25. Was the RFP released? What is the status of the project and how is the timeline affected? Have costs remained static or will additional funding be required due to project delays and escalating costs? </t>
  </si>
  <si>
    <t>The City is continuing to search for available property at an affordable price. New rezoning requests are also reviewed for possible opportunity to request 'conditions' to support a new transit facility.</t>
  </si>
  <si>
    <t xml:space="preserve">This project has not had any reimbursements. It is programmed to receive an allocation of $4,000,000 for FY27. Is the project ready for this allocation? </t>
  </si>
  <si>
    <t>The design team is working on an offical schedule.</t>
  </si>
  <si>
    <t xml:space="preserve">Has a timeline been established for the product now that the design contract has been awarded? </t>
  </si>
  <si>
    <t xml:space="preserve">We are bidding out for construction this fall. The delay was with the design team, which couldn't have been forecasted at first. </t>
  </si>
  <si>
    <t xml:space="preserve">The remaining funding for this project is still above what was allocated in FY23. In hindsight, could the FY23 budget allocation have been delayed or allocated in phases? </t>
  </si>
  <si>
    <t xml:space="preserve">No. </t>
  </si>
  <si>
    <t xml:space="preserve">This project was initially awarded funds in FY18, and is now nearing completion. Looking back, could this project have been allocated funds over multiple years to reduce a large initial allocation and reduce carryover funds? </t>
  </si>
  <si>
    <t xml:space="preserve">Yes, this experience has affected the future approaches to our BRT corridors. For future corridors discusssions with contractors and consultants will occur earlier in the process, since they were helpful in determining how to make our project competittive. Additionally the Southern and Western corridors are larger projects that will be more attractive for larger contractors to bid on. These combined efforts should make the future bidding process more efficent. </t>
  </si>
  <si>
    <t xml:space="preserve">General for all BRT projects: The New Bern BRT corridor had many setbacks in getting off the ground, but modifications were made to the project regarding how it was bidded out and how contruction for the project would be phased. Has this experience had an effect on the approach towards the other BRT corridors in order to reduce further delays? What takeaways from that experience are being used for the other corridors?  </t>
  </si>
  <si>
    <t>Total Transit Operation</t>
  </si>
  <si>
    <t>TO005-CJ</t>
  </si>
  <si>
    <t>TO005-L3</t>
  </si>
  <si>
    <t>TO005-U</t>
  </si>
  <si>
    <t>TO005-BM</t>
  </si>
  <si>
    <t>Contract Safety Security Service</t>
  </si>
  <si>
    <t>TO005-S</t>
  </si>
  <si>
    <t>Rolesville Park‐and‐Ride</t>
  </si>
  <si>
    <t>TO005-CM</t>
  </si>
  <si>
    <t>Park and Ride Operations</t>
  </si>
  <si>
    <t>TO005-V</t>
  </si>
  <si>
    <t>Bus Stop/P&amp;R Maintenance</t>
  </si>
  <si>
    <t>TO005-BJ</t>
  </si>
  <si>
    <t>TO005-CR</t>
  </si>
  <si>
    <t>Fuquay-Varina Microtransit</t>
  </si>
  <si>
    <t>TO005-CO</t>
  </si>
  <si>
    <t>Route 15: WakeMed</t>
  </si>
  <si>
    <t>TO005-CN</t>
  </si>
  <si>
    <t>Route 1: Capital Boulevard</t>
  </si>
  <si>
    <t>TO005-CA</t>
  </si>
  <si>
    <t>Improvements to Route 2 Falls of Neuse - FY25 Bus Plan</t>
  </si>
  <si>
    <t>TO005-BZ</t>
  </si>
  <si>
    <t>New Route 14 - Atlantic - FY25 Bus Plan</t>
  </si>
  <si>
    <t>TO005-BY</t>
  </si>
  <si>
    <t>Route 3: Glascock</t>
  </si>
  <si>
    <t>TO005-BX</t>
  </si>
  <si>
    <t>Route 12: Method</t>
  </si>
  <si>
    <t>TO005-BW</t>
  </si>
  <si>
    <t>Route 11: Avent Ferry</t>
  </si>
  <si>
    <t>TO005-BV</t>
  </si>
  <si>
    <t>Route 7L Carolina Pines Improvements</t>
  </si>
  <si>
    <t>TO005-BU</t>
  </si>
  <si>
    <t>Rolesville Microtransit Service Zone</t>
  </si>
  <si>
    <t>TO005-AP</t>
  </si>
  <si>
    <t>Biltmore Hills</t>
  </si>
  <si>
    <t>TO005-AM</t>
  </si>
  <si>
    <t>Glenwood Route Package</t>
  </si>
  <si>
    <t>TO005-AL</t>
  </si>
  <si>
    <t>Route 21: Caraleigh</t>
  </si>
  <si>
    <t>TO005-AD</t>
  </si>
  <si>
    <t>Route 9 - Hillsborough Street</t>
  </si>
  <si>
    <t>TO005-R</t>
  </si>
  <si>
    <t>Routes 20: Garner</t>
  </si>
  <si>
    <t>TO005-P</t>
  </si>
  <si>
    <t>Route 33: New Hope ‐ Knightdale</t>
  </si>
  <si>
    <t>TO005-J</t>
  </si>
  <si>
    <t>NW Raleigh Route Package</t>
  </si>
  <si>
    <t>TO005-I</t>
  </si>
  <si>
    <t>SE Raleigh Route Package</t>
  </si>
  <si>
    <t>TO004-E</t>
  </si>
  <si>
    <t>Sunday Service Increase Span</t>
  </si>
  <si>
    <t>TO004-D</t>
  </si>
  <si>
    <t>Route 7: South Saunders</t>
  </si>
  <si>
    <t>TO003-A</t>
  </si>
  <si>
    <t>FRX: Fuquay-Varina Express</t>
  </si>
  <si>
    <t>TO002-AK</t>
  </si>
  <si>
    <t>Marketing for Bus System</t>
  </si>
  <si>
    <t>TO002-AS</t>
  </si>
  <si>
    <t>Office Space Lease for Transit Staff</t>
  </si>
  <si>
    <t>TO002-BI</t>
  </si>
  <si>
    <t>1.0 FTE: Transit Supervisor ACCESS</t>
  </si>
  <si>
    <t>TO002-BG</t>
  </si>
  <si>
    <t>1.0 FTE: Security Director RATP/Dev</t>
  </si>
  <si>
    <t>TO002-BF</t>
  </si>
  <si>
    <t>1.0 FTE: Transit Planner Analyst</t>
  </si>
  <si>
    <t>TO002-BB</t>
  </si>
  <si>
    <t>1.0 FTE: Senior Real Estate Analyst</t>
  </si>
  <si>
    <t>TO002-BA</t>
  </si>
  <si>
    <t>1.0 FTE: Construction Management</t>
  </si>
  <si>
    <t>TO002-AZ</t>
  </si>
  <si>
    <t>1.0 FTE: Fiscal Analyst Finance</t>
  </si>
  <si>
    <t>TO002-AP</t>
  </si>
  <si>
    <t>1.0 FTE: Planning Analyst ACCESS</t>
  </si>
  <si>
    <t>TO002-AO</t>
  </si>
  <si>
    <t>1.0 FTE: Procurement Analyst Finance</t>
  </si>
  <si>
    <t>TO002-AJ</t>
  </si>
  <si>
    <t>1.0 FTE: Senior Engineer</t>
  </si>
  <si>
    <t>TO002-AI</t>
  </si>
  <si>
    <t>1.0 FTE: Traffic Signal Timing Specialist</t>
  </si>
  <si>
    <t>TO002-AH</t>
  </si>
  <si>
    <t>1.0 FTE: Senior Planner BRT</t>
  </si>
  <si>
    <t>TO002-AG</t>
  </si>
  <si>
    <t>1.0 FTE: Transportation Analyst Finance</t>
  </si>
  <si>
    <t>TO002-P</t>
  </si>
  <si>
    <t>1.0 FTE: Planning Supervisor BRT</t>
  </si>
  <si>
    <t>Raleigh</t>
  </si>
  <si>
    <t>No, will be quarterly; Wanted to finalize numbers before requesting reimbursement since a new program</t>
  </si>
  <si>
    <t xml:space="preserve">Is Raleigh incurring the cost of this annually and intending to seek reimbursement for the full FY in Q4 reimbursements? </t>
  </si>
  <si>
    <t xml:space="preserve">Yes, the Youth GoPass is still being utilized. We have had significant increases in usage each quarter after faresw were reinstated. Ridership in Q4 was over 27K. Our TDM team have had several enagement events at local schools to aid in the sign up process. </t>
  </si>
  <si>
    <t xml:space="preserve">Is the Youth GoPass still being utilized? Wake County just discontinued/closed out their project, and I am curious about the future of this project. </t>
  </si>
  <si>
    <t xml:space="preserve">Route 3 service changes went into effect on June 15th, 2025. The route's new alignment provides significantly more bi-directional service as before, and now provides connections to GoRaleigh's route 15L and route 1. Route 3 increased in mid-day frequency and now runs every 30 minutes from 5:20 am to 7 pm, at which time it reverts back to hourly service. The route previously ran 30 minute frequency at peak and hourly off peak. </t>
  </si>
  <si>
    <t xml:space="preserve">This service change was implemented behind schedule with a new slated start in June. Have the service changes occurred? </t>
  </si>
  <si>
    <t xml:space="preserve">Yes, route changes were implemented on June 15th, 2025.  Additional late night trips were added and the route path was changed to provide better connection opportunities to the newly improved 11's high frequency. Now the 12 can connect at a single stop to the 11L, 11 and Wolfline services. This contributes to our improved service level in south western Raleigh. </t>
  </si>
  <si>
    <t xml:space="preserve">This project fell behind schedule and the last update stated that it would be implemented in June 2025. Has the route's span and alignment change occurred yet? </t>
  </si>
  <si>
    <t>Revenue hours billed to Wake Transit were 3,901 hrs in Q4.</t>
  </si>
  <si>
    <t xml:space="preserve">This project began in February 2025, but a reimbursement request has not come in for this project to give an idea of what this route may look like. Do you expect for the budgeted amount for this route to be appropriate? </t>
  </si>
  <si>
    <t>Expenses were first included in Q4 reimbursement</t>
  </si>
  <si>
    <t>Did this project begin in FY25Q3 as stated? How will the construction on this route effect its delivery?</t>
  </si>
  <si>
    <t>Fully expended Biltmore Hills in FY25</t>
  </si>
  <si>
    <t xml:space="preserve">Frequency improvements began for this route in FY25Q1, however there has not been a reimbursement for this project yet. Can you provide some insight into the reason for this? </t>
  </si>
  <si>
    <t xml:space="preserve">City finance and service provider finance staff were not aware of the change, so did not request reimb for FY24. Was identified in FY25, and reimbursement was requested for full year of FY25 activity. </t>
  </si>
  <si>
    <t xml:space="preserve">This route was implemented in FY24Q4, but it doesn't look like any reimburesements were requested for the route in that FY. The reimbursements appear to be low for FY25. Is the amount of budget allocated to this project appropriate? You have stated that it should be considered for a higher frequency in the bus plan, but do you forsee this needing to occur ahead of the bus plan update. The bus plan will not be adopted until approximately FY27Q3. </t>
  </si>
  <si>
    <t xml:space="preserve">This project did not start until September, but was budgeted for a whole year. The variance seems large, but weighted to half a year it is only -16%. You do not need to respond to this, but I wanted to make a note of it. </t>
  </si>
  <si>
    <t xml:space="preserve">Revenue hours billed to Wake Transit rose to over 4K in Q2 of FY25. </t>
  </si>
  <si>
    <t xml:space="preserve">In FY23 this route had expected levels of expenditures. There has been a notable decrease in expenditure in FY24 and FY25. What is the cause for this? Is the amount budgeted still appropriate? </t>
  </si>
  <si>
    <t>Wake Transit billed hours show additional revenue hours for Q4 - 2,393 hrs compared to 1,005 in FY24</t>
  </si>
  <si>
    <t xml:space="preserve">Expenditures appear to be lower than typical on this route in FY25 depite the extended weekday route and added weekend service. What is the cause of this? </t>
  </si>
  <si>
    <t xml:space="preserve">The 18 and 18L were implemented in our June 2025 service change. Route 18 was split and now runs every 30 minutes, while the 18L picks up the Poole Rd to Battle Bridge section up to New Hope Commons, The 18S was eliminated. The 17 is expected to be improved in our March 2026 service change. The project sheets for FY27 will take into account any changes in service or costs. </t>
  </si>
  <si>
    <t xml:space="preserve">The expenditures are lower than what would be expected for this project. Is the service delivery for this behind schedule? The budget in FY26 is also larger than the standard 2.5%. Are you expecting service delivery to ramp up (e.g. for 18 and 18s and 17 frequency improvements) and necessitate the FY26 and FY27 budget increases? </t>
  </si>
  <si>
    <t xml:space="preserve">Some routes weekend service has been re-allocated to the route specific projects, like Garner. The 33 has a condensed route on weekends to not serve Wake Tech Campus. The 40X does not have weekend service and has not been included in the Sunday Expansion hours billed to Wake Transit. </t>
  </si>
  <si>
    <t>The expenditures for this in FY25 are lower than what has been historically observed for this project. The budget in FY26 for this project is lower. Are the noted decreases in this project from increased funding in projects for the actual routes?  It is noted that 33/40 routes continue sunday service. Is the budgeted amount for this appropriate?</t>
  </si>
  <si>
    <t>First incurred expenses for position in FY25. The City considers a variety of factors when determining Work Plan amounts for positions. If the position is filled, staff considers actual expenditures and the potential hire salary if the position were to become vacant during the year. If the position is vacant, staff considers the expected hire date and potential hire salary.  The City currently manages 12 positions, and it’s not common for all 12 positions to be filled for the entire year. As a result, the City uses budget transfers to manage personnel costs, instead of requesting additional Wake Transit funds.</t>
  </si>
  <si>
    <t xml:space="preserve">This position was filled at the beginning of the FY, so reimbursement requests should reflect close to what the position would look like for a full year with the weighted variance. Is this funding level for the position appropriate? </t>
  </si>
  <si>
    <t>The City considers a variety of factors when determining Work Plan amounts for positions. If the position is filled, staff considers actual expenditures and the potential hire salary if the position were to become vacant during the year. If the position is vacant, staff considers the expected hire date and potential hire salary.  The City currently manages 12 positions, and it’s not common for all 12 positions to be filled for the entire year. As a result, the City uses budget transfers to manage personnel costs, instead of requesting additional Wake Transit funds.</t>
  </si>
  <si>
    <t xml:space="preserve">This position was filled at the beginning of the FY, so reimbursement requests should reflect close to what the position would look like for a full year. Is this funding level for the position appropriate? </t>
  </si>
  <si>
    <t xml:space="preserve">Identified that payroll costs have been posting incorrectly for this position. Staff is working w/ Payroll to correct FY26 personnel expenses. </t>
  </si>
  <si>
    <t xml:space="preserve">This project has had a sizable variance in FY24 and FY25 despite notable activity. Is the funding amount for this position appropriate? </t>
  </si>
  <si>
    <t>Had staff turnover in this role for the past few years, but position has been filled since April 2024.</t>
  </si>
  <si>
    <t xml:space="preserve">This position was fulled expended in FY23, but has had a sizable variance in both FY24 and FY25. What is the status of this position? </t>
  </si>
  <si>
    <t xml:space="preserve">The expenditures for this project appear to be low. The position was filled in Q2, but the reimbursement requests appear to be low. Have reimbursement requests lagged for this position? </t>
  </si>
  <si>
    <t xml:space="preserve">Does this project have adquate funding? </t>
  </si>
  <si>
    <t>...-P and -AH are swapped</t>
  </si>
  <si>
    <t xml:space="preserve">This weighted variance is showing that as having expended 4% more than it should have at this point, and the budgeted amount for this position is lower in FY26 than in FY25. Does this budgeted amount need to be reevaluated? </t>
  </si>
  <si>
    <t xml:space="preserve">This position was at -1% variance for FY24 and required a budget transfer. Funds were transferred to this again in FY25 via budget transfer. Is the funding in FY26 and beyond sufficient? </t>
  </si>
  <si>
    <t xml:space="preserve">Gabriel was promoted into this position on May 31. The City considers a variety of factors when determining Work Plan amounts for positions. If the position is filled, staff considers actual expenditures and the potential hire salary if the position were to become vacant during the year. If the position is vacant, staff considers the expected hire date and potential hire salary.  The City currently manages 12 positions, and it’s not common for all 12 positions to be filled for the entire year. As a result, the City uses budget transfers to manage personnel costs, instead of requesting additional Wake Transit funds. </t>
  </si>
  <si>
    <t>What is the status of this position? Progress is reported on, but there are no expenditures for the position. A budget transfer also occured in FY25 to transfer funds from this project to TO002-AG. Is this amount still necessary?</t>
  </si>
  <si>
    <t>Meeting Notes</t>
  </si>
  <si>
    <t>Raleigh PP&amp;E Q&amp;A - Operating Projects</t>
  </si>
  <si>
    <t>Total Tax District Administration</t>
  </si>
  <si>
    <t>TO001-F</t>
  </si>
  <si>
    <t>3.0 FTE: Finance Team</t>
  </si>
  <si>
    <t>TO001-C</t>
  </si>
  <si>
    <t>Financial Consulting</t>
  </si>
  <si>
    <t>TO001-B</t>
  </si>
  <si>
    <t>Tax District Audits</t>
  </si>
  <si>
    <t xml:space="preserve">Tax District Administration </t>
  </si>
  <si>
    <t>TDA</t>
  </si>
  <si>
    <t xml:space="preserve">TDA is currently allocated the equivalent of 5.0 direct FTEs and 2.1 indirect FTEs across the three transit plans/programs. As outlined in the project sheet submissions cost allocations are structured as follows:
- 70% of tasks are consistent across all three plans
- The remaining 30% varies by plan and is distributed as:
     - 60% to Wake
     - 30% to Durham
      - 10% to Orange
At present 3 of the 5 direct positions are filled, with recruitment underway for a fourth. TDA is committed to strategically hiring in a way that aligns with the strengths and needs of each role ensuring responsible stewardship of transit resources and taxpayer funding.
</t>
  </si>
  <si>
    <t xml:space="preserve">This project is for 3.0FTEs. How does that compare to what is on the ground? How does this funding amount relate to what the other transit plans are contributing to the TDA for staffing needs?  </t>
  </si>
  <si>
    <t xml:space="preserve">Funding levels remain appropriate, as the TDA team has achieved savings by conducting financial modeling in-house. The current variance is partly due to the previous ability to carry forward funds annually, a practice that will end in FY27 following TDA’s collaboration with partners to discontinue encumbering operating funds.
Additional funds are anticipated for debt issuance preparation and securing an indicative rating, both of which are resource-intensive efforts. Regarding service fees, and as discussed in the FY25 reimbursements we are preparing an RFP for banking and investment services. This process will be led by the newly established Director of Treasury and Risk who will also evaluate the types of service fees and the appropriate accounting approach. Following RFP implementation there may be an opportunity to reduce the funding needed for this item. Finally, given the small budget transfers completed over the past few years, consolidating the audit line item is a logical next step.
</t>
  </si>
  <si>
    <t>This project generally has a ~50% variance each year, and it appears that the project has consistent reimbursement requests. Is the funding amount for this project appropriate? How are the bank fees integrated into this? How are you envisioning the project be merged with the audit project (TO001-B)?</t>
  </si>
  <si>
    <t>TC001-T</t>
  </si>
  <si>
    <t>TC001-R</t>
  </si>
  <si>
    <t>Replacement Vehicles</t>
  </si>
  <si>
    <t>TC003-W</t>
  </si>
  <si>
    <t>FAST Study with NCDOT/RTA</t>
  </si>
  <si>
    <t>Total Spent (FY24-FY25Q3)</t>
  </si>
  <si>
    <t>Total Funding (FY24-FY25)</t>
  </si>
  <si>
    <t>FY25 % Expended</t>
  </si>
  <si>
    <t>FY25 Actual ($)</t>
  </si>
  <si>
    <t>FY25 Budget ($)</t>
  </si>
  <si>
    <t>FY24 % Expended</t>
  </si>
  <si>
    <t>FY24 Actual ($)</t>
  </si>
  <si>
    <t>FY24 Budget ($)</t>
  </si>
  <si>
    <t xml:space="preserve">Agreements were executed July 2025. GoWake Access has begun the ordering process. The expectation of delivery is Spring 2026. </t>
  </si>
  <si>
    <t xml:space="preserve">What has been your experience with this project? What activity has occurred? </t>
  </si>
  <si>
    <t>PP&amp;E Review 2025 - Wake County Capital Projects</t>
  </si>
  <si>
    <t>TO005-G2</t>
  </si>
  <si>
    <t>Transportation Call Center</t>
  </si>
  <si>
    <t>TO005-G1</t>
  </si>
  <si>
    <t>GoWake Response Service</t>
  </si>
  <si>
    <t>TO002-BK</t>
  </si>
  <si>
    <t>Administrative Support</t>
  </si>
  <si>
    <t>TO002-BH</t>
  </si>
  <si>
    <t>Vehicle Rental Tax Mediation</t>
  </si>
  <si>
    <t xml:space="preserve">Wake County </t>
  </si>
  <si>
    <t xml:space="preserve">GoWake Access utlizied all funding in this project. Funds were used to support Customer Support Staff. </t>
  </si>
  <si>
    <t xml:space="preserve">Was this project utilized in FY25? </t>
  </si>
  <si>
    <t>How was this project expended through FY25?</t>
  </si>
  <si>
    <t>PP&amp;E Review 2025 - Wake County Operations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</si>
</sst>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s>
  <fonts count="29" x14ac:knownFonts="1">
    <font>
      <sz val="11"/>
      <color theme="1"/>
      <name val="Aptos Narrow"/>
      <family val="2"/>
      <scheme val="minor"/>
    </font>
    <font>
      <b/>
      <sz val="11"/>
      <color theme="1"/>
      <name val="Aptos Narrow"/>
      <family val="2"/>
      <scheme val="minor"/>
    </font>
    <font>
      <sz val="11"/>
      <color theme="1"/>
      <name val="Aptos"/>
      <family val="2"/>
    </font>
    <font>
      <b/>
      <sz val="12"/>
      <name val="Aptos"/>
      <family val="2"/>
    </font>
    <font>
      <b/>
      <sz val="12"/>
      <color theme="1"/>
      <name val="Aptos"/>
      <family val="2"/>
    </font>
    <font>
      <b/>
      <sz val="11"/>
      <color theme="1"/>
      <name val="Aptos"/>
      <family val="2"/>
    </font>
    <font>
      <b/>
      <sz val="12"/>
      <color theme="0"/>
      <name val="Aptos"/>
      <family val="2"/>
    </font>
    <font>
      <b/>
      <sz val="16"/>
      <color theme="0"/>
      <name val="Aptos Narrow"/>
      <family val="2"/>
      <scheme val="minor"/>
    </font>
    <font>
      <b/>
      <sz val="16"/>
      <color theme="0"/>
      <name val="Aptos"/>
      <family val="2"/>
    </font>
    <font>
      <sz val="11"/>
      <color theme="1"/>
      <name val="Aptos Narrow"/>
      <family val="2"/>
      <scheme val="minor"/>
    </font>
    <font>
      <b/>
      <sz val="11"/>
      <color theme="0"/>
      <name val="Aptos Narrow"/>
      <family val="2"/>
      <scheme val="minor"/>
    </font>
    <font>
      <sz val="11"/>
      <color theme="1"/>
      <name val="Aptos Narrow"/>
      <family val="2"/>
    </font>
    <font>
      <sz val="11"/>
      <name val="Aptos Narrow"/>
      <family val="2"/>
    </font>
    <font>
      <b/>
      <sz val="12"/>
      <color theme="0"/>
      <name val="Aptos Narrow"/>
      <family val="2"/>
    </font>
    <font>
      <b/>
      <sz val="14"/>
      <color theme="1"/>
      <name val="Aptos Narrow"/>
      <family val="2"/>
    </font>
    <font>
      <sz val="11"/>
      <name val="Aptos Narrow"/>
      <family val="2"/>
      <scheme val="minor"/>
    </font>
    <font>
      <b/>
      <sz val="12"/>
      <name val="Aptos Narrow"/>
      <family val="2"/>
      <scheme val="minor"/>
    </font>
    <font>
      <b/>
      <sz val="12"/>
      <name val="Aptos Narrow"/>
      <family val="2"/>
    </font>
    <font>
      <sz val="11"/>
      <color theme="1"/>
      <name val="Segoe UI"/>
      <family val="2"/>
    </font>
    <font>
      <b/>
      <sz val="11"/>
      <color theme="1"/>
      <name val="Segoe UI"/>
      <family val="2"/>
    </font>
    <font>
      <b/>
      <sz val="11"/>
      <color theme="0"/>
      <name val="Segoe UI"/>
      <family val="2"/>
    </font>
    <font>
      <b/>
      <sz val="16"/>
      <color theme="0"/>
      <name val="Segoe UI"/>
      <family val="2"/>
    </font>
    <font>
      <sz val="12"/>
      <color theme="1"/>
      <name val="Aptos"/>
      <family val="2"/>
    </font>
    <font>
      <b/>
      <sz val="11"/>
      <color theme="1"/>
      <name val="Aptos Narrow"/>
      <family val="2"/>
    </font>
    <font>
      <b/>
      <sz val="11"/>
      <color theme="0"/>
      <name val="Aptos"/>
      <family val="2"/>
    </font>
    <font>
      <sz val="11"/>
      <color rgb="FF2A2A2A"/>
      <name val="Aptos Narrow"/>
      <family val="2"/>
    </font>
    <font>
      <sz val="10"/>
      <name val="Arial"/>
      <family val="2"/>
    </font>
    <font>
      <b/>
      <sz val="12"/>
      <color theme="0"/>
      <name val="Aptos Narrow"/>
      <family val="2"/>
      <scheme val="minor"/>
    </font>
    <font>
      <b/>
      <sz val="14"/>
      <color rgb="FF2A2A2A"/>
      <name val="Aptos Narrow"/>
      <family val="2"/>
      <scheme val="minor"/>
    </font>
  </fonts>
  <fills count="22">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0"/>
        <bgColor indexed="64"/>
      </patternFill>
    </fill>
    <fill>
      <patternFill patternType="solid">
        <fgColor rgb="FFFFFFFF"/>
        <bgColor rgb="FF000000"/>
      </patternFill>
    </fill>
  </fills>
  <borders count="48">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43" fontId="9" fillId="0" borderId="0" applyFont="0" applyFill="0" applyBorder="0" applyAlignment="0" applyProtection="0"/>
    <xf numFmtId="44" fontId="9" fillId="0" borderId="0" applyFont="0" applyFill="0" applyBorder="0" applyAlignment="0" applyProtection="0"/>
  </cellStyleXfs>
  <cellXfs count="476">
    <xf numFmtId="0" fontId="0" fillId="0" borderId="0" xfId="0"/>
    <xf numFmtId="0" fontId="2" fillId="0" borderId="0" xfId="0" applyFont="1"/>
    <xf numFmtId="0" fontId="3" fillId="0" borderId="0" xfId="0" applyFont="1" applyAlignment="1">
      <alignment horizontal="center"/>
    </xf>
    <xf numFmtId="0" fontId="1" fillId="0" borderId="0" xfId="0" applyFont="1"/>
    <xf numFmtId="0" fontId="0" fillId="0" borderId="0" xfId="0" applyAlignment="1">
      <alignment wrapText="1"/>
    </xf>
    <xf numFmtId="0" fontId="1" fillId="0" borderId="0" xfId="0" applyFont="1" applyAlignment="1">
      <alignment wrapText="1"/>
    </xf>
    <xf numFmtId="42" fontId="5" fillId="2" borderId="1" xfId="0" applyNumberFormat="1" applyFont="1" applyFill="1" applyBorder="1"/>
    <xf numFmtId="42" fontId="5" fillId="3" borderId="1" xfId="0" applyNumberFormat="1" applyFont="1" applyFill="1" applyBorder="1"/>
    <xf numFmtId="9" fontId="5" fillId="4" borderId="1" xfId="0" applyNumberFormat="1" applyFont="1" applyFill="1" applyBorder="1"/>
    <xf numFmtId="42" fontId="5" fillId="4" borderId="1" xfId="0" applyNumberFormat="1" applyFont="1" applyFill="1" applyBorder="1"/>
    <xf numFmtId="9" fontId="5" fillId="5" borderId="1" xfId="0" applyNumberFormat="1" applyFont="1" applyFill="1" applyBorder="1"/>
    <xf numFmtId="42" fontId="5" fillId="5" borderId="1" xfId="0" applyNumberFormat="1" applyFont="1" applyFill="1" applyBorder="1"/>
    <xf numFmtId="9" fontId="5" fillId="6" borderId="1" xfId="0" applyNumberFormat="1" applyFont="1" applyFill="1" applyBorder="1"/>
    <xf numFmtId="42" fontId="5" fillId="6" borderId="1" xfId="0" applyNumberFormat="1" applyFont="1" applyFill="1" applyBorder="1"/>
    <xf numFmtId="9" fontId="5" fillId="7" borderId="1" xfId="0" applyNumberFormat="1" applyFont="1" applyFill="1" applyBorder="1"/>
    <xf numFmtId="42" fontId="5" fillId="7" borderId="1" xfId="0" applyNumberFormat="1" applyFont="1" applyFill="1" applyBorder="1"/>
    <xf numFmtId="41" fontId="0" fillId="2" borderId="0" xfId="0" applyNumberFormat="1" applyFill="1"/>
    <xf numFmtId="41" fontId="0" fillId="3" borderId="0" xfId="0" applyNumberFormat="1" applyFill="1"/>
    <xf numFmtId="9" fontId="2" fillId="4" borderId="0" xfId="0" applyNumberFormat="1" applyFont="1" applyFill="1"/>
    <xf numFmtId="41" fontId="2" fillId="4" borderId="0" xfId="0" applyNumberFormat="1" applyFont="1" applyFill="1"/>
    <xf numFmtId="9" fontId="2" fillId="5" borderId="0" xfId="0" applyNumberFormat="1" applyFont="1" applyFill="1"/>
    <xf numFmtId="41" fontId="2" fillId="5" borderId="0" xfId="0" applyNumberFormat="1" applyFont="1" applyFill="1"/>
    <xf numFmtId="9" fontId="2" fillId="6" borderId="0" xfId="0" applyNumberFormat="1" applyFont="1" applyFill="1"/>
    <xf numFmtId="41" fontId="2" fillId="6" borderId="0" xfId="0" applyNumberFormat="1" applyFont="1" applyFill="1"/>
    <xf numFmtId="9" fontId="2" fillId="7" borderId="0" xfId="0" applyNumberFormat="1" applyFont="1" applyFill="1"/>
    <xf numFmtId="41" fontId="2" fillId="7" borderId="0" xfId="0" applyNumberFormat="1" applyFont="1" applyFill="1"/>
    <xf numFmtId="42" fontId="6" fillId="8" borderId="0" xfId="0" applyNumberFormat="1" applyFont="1" applyFill="1" applyAlignment="1">
      <alignment horizontal="center"/>
    </xf>
    <xf numFmtId="42" fontId="6" fillId="9" borderId="0" xfId="0" applyNumberFormat="1" applyFont="1" applyFill="1" applyAlignment="1">
      <alignment horizontal="center"/>
    </xf>
    <xf numFmtId="9" fontId="6" fillId="10" borderId="0" xfId="0" applyNumberFormat="1" applyFont="1" applyFill="1" applyAlignment="1">
      <alignment horizontal="center"/>
    </xf>
    <xf numFmtId="0" fontId="6" fillId="10" borderId="0" xfId="0" applyFont="1" applyFill="1" applyAlignment="1">
      <alignment horizontal="center"/>
    </xf>
    <xf numFmtId="9" fontId="6" fillId="11" borderId="0" xfId="0" applyNumberFormat="1" applyFont="1" applyFill="1" applyAlignment="1">
      <alignment horizontal="center"/>
    </xf>
    <xf numFmtId="0" fontId="6" fillId="11" borderId="0" xfId="0" applyFont="1" applyFill="1" applyAlignment="1">
      <alignment horizontal="center"/>
    </xf>
    <xf numFmtId="9" fontId="6" fillId="12" borderId="0" xfId="0" applyNumberFormat="1" applyFont="1" applyFill="1" applyAlignment="1">
      <alignment horizontal="center"/>
    </xf>
    <xf numFmtId="0" fontId="6" fillId="12" borderId="0" xfId="0" applyFont="1" applyFill="1" applyAlignment="1">
      <alignment horizontal="center"/>
    </xf>
    <xf numFmtId="9" fontId="6" fillId="13" borderId="0" xfId="0" applyNumberFormat="1" applyFont="1" applyFill="1" applyAlignment="1">
      <alignment horizontal="center"/>
    </xf>
    <xf numFmtId="0" fontId="6" fillId="13" borderId="0" xfId="0" applyFont="1" applyFill="1" applyAlignment="1">
      <alignment horizontal="center"/>
    </xf>
    <xf numFmtId="42" fontId="7" fillId="14" borderId="0" xfId="0" applyNumberFormat="1" applyFont="1" applyFill="1" applyAlignment="1">
      <alignment horizontal="center"/>
    </xf>
    <xf numFmtId="42" fontId="7" fillId="15" borderId="0" xfId="0" applyNumberFormat="1" applyFont="1" applyFill="1" applyAlignment="1">
      <alignment horizontal="center"/>
    </xf>
    <xf numFmtId="9" fontId="8" fillId="16" borderId="0" xfId="0" applyNumberFormat="1" applyFont="1" applyFill="1" applyAlignment="1">
      <alignment horizontal="centerContinuous"/>
    </xf>
    <xf numFmtId="0" fontId="8" fillId="16" borderId="0" xfId="0" applyFont="1" applyFill="1" applyAlignment="1">
      <alignment horizontal="centerContinuous"/>
    </xf>
    <xf numFmtId="9" fontId="8" fillId="17" borderId="0" xfId="0" applyNumberFormat="1" applyFont="1" applyFill="1" applyAlignment="1">
      <alignment horizontal="centerContinuous"/>
    </xf>
    <xf numFmtId="0" fontId="8" fillId="17" borderId="0" xfId="0" applyFont="1" applyFill="1" applyAlignment="1">
      <alignment horizontal="centerContinuous"/>
    </xf>
    <xf numFmtId="9" fontId="8" fillId="18" borderId="0" xfId="0" applyNumberFormat="1" applyFont="1" applyFill="1" applyAlignment="1">
      <alignment horizontal="centerContinuous"/>
    </xf>
    <xf numFmtId="0" fontId="8" fillId="18" borderId="0" xfId="0" applyFont="1" applyFill="1" applyAlignment="1">
      <alignment horizontal="centerContinuous"/>
    </xf>
    <xf numFmtId="9" fontId="8" fillId="19" borderId="0" xfId="0" applyNumberFormat="1" applyFont="1" applyFill="1" applyAlignment="1">
      <alignment horizontal="centerContinuous"/>
    </xf>
    <xf numFmtId="0" fontId="8" fillId="19" borderId="0" xfId="0" applyFont="1" applyFill="1" applyAlignment="1">
      <alignment horizontal="centerContinuous"/>
    </xf>
    <xf numFmtId="0" fontId="5" fillId="0" borderId="0" xfId="0" applyFont="1" applyAlignment="1">
      <alignment horizontal="right"/>
    </xf>
    <xf numFmtId="0" fontId="4" fillId="0" borderId="0" xfId="0" applyFont="1" applyAlignment="1">
      <alignment horizontal="center" vertical="center" textRotation="90"/>
    </xf>
    <xf numFmtId="0" fontId="2" fillId="0" borderId="0" xfId="0" applyFont="1" applyAlignment="1">
      <alignment horizontal="center" vertical="center"/>
    </xf>
    <xf numFmtId="0" fontId="11" fillId="0" borderId="0" xfId="0" applyFont="1"/>
    <xf numFmtId="0" fontId="11" fillId="0" borderId="0" xfId="0" applyFont="1" applyAlignment="1">
      <alignment horizontal="center"/>
    </xf>
    <xf numFmtId="164" fontId="11" fillId="5" borderId="2" xfId="2" applyNumberFormat="1" applyFont="1" applyFill="1" applyBorder="1" applyAlignment="1">
      <alignment vertical="center"/>
    </xf>
    <xf numFmtId="9" fontId="11" fillId="7" borderId="2" xfId="0" applyNumberFormat="1" applyFont="1" applyFill="1" applyBorder="1" applyAlignment="1">
      <alignment horizontal="center"/>
    </xf>
    <xf numFmtId="164" fontId="11" fillId="7" borderId="2" xfId="0" applyNumberFormat="1" applyFont="1" applyFill="1" applyBorder="1"/>
    <xf numFmtId="0" fontId="11" fillId="6" borderId="2" xfId="0" applyFont="1" applyFill="1" applyBorder="1" applyAlignment="1">
      <alignment horizontal="center"/>
    </xf>
    <xf numFmtId="42" fontId="11" fillId="6" borderId="2" xfId="2" applyNumberFormat="1" applyFont="1" applyFill="1" applyBorder="1" applyAlignment="1">
      <alignment vertical="center"/>
    </xf>
    <xf numFmtId="164" fontId="11" fillId="3" borderId="2" xfId="2" applyNumberFormat="1" applyFont="1" applyFill="1" applyBorder="1" applyAlignment="1">
      <alignment vertical="top"/>
    </xf>
    <xf numFmtId="0" fontId="12" fillId="2" borderId="2" xfId="0" applyFont="1" applyFill="1" applyBorder="1" applyAlignment="1">
      <alignment horizontal="center" vertical="center" wrapText="1"/>
    </xf>
    <xf numFmtId="0" fontId="12" fillId="2" borderId="2" xfId="0" applyFont="1" applyFill="1" applyBorder="1" applyAlignment="1">
      <alignment vertical="top"/>
    </xf>
    <xf numFmtId="164" fontId="12" fillId="5" borderId="3" xfId="2" applyNumberFormat="1" applyFont="1" applyFill="1" applyBorder="1" applyAlignment="1">
      <alignment vertical="center"/>
    </xf>
    <xf numFmtId="9" fontId="11" fillId="7" borderId="3" xfId="0" applyNumberFormat="1" applyFont="1" applyFill="1" applyBorder="1" applyAlignment="1">
      <alignment horizontal="center"/>
    </xf>
    <xf numFmtId="164" fontId="11" fillId="7" borderId="3" xfId="0" applyNumberFormat="1" applyFont="1" applyFill="1" applyBorder="1"/>
    <xf numFmtId="0" fontId="11" fillId="6" borderId="3" xfId="0" applyFont="1" applyFill="1" applyBorder="1" applyAlignment="1">
      <alignment horizontal="center"/>
    </xf>
    <xf numFmtId="42" fontId="11" fillId="6" borderId="3" xfId="2" applyNumberFormat="1" applyFont="1" applyFill="1" applyBorder="1" applyAlignment="1">
      <alignment vertical="center"/>
    </xf>
    <xf numFmtId="164" fontId="11" fillId="3" borderId="3" xfId="2" applyNumberFormat="1" applyFont="1" applyFill="1" applyBorder="1" applyAlignment="1">
      <alignment vertical="top"/>
    </xf>
    <xf numFmtId="0" fontId="12" fillId="2" borderId="3" xfId="0" applyFont="1" applyFill="1" applyBorder="1" applyAlignment="1">
      <alignment horizontal="center" vertical="center" wrapText="1"/>
    </xf>
    <xf numFmtId="0" fontId="12" fillId="2" borderId="3" xfId="0" applyFont="1" applyFill="1" applyBorder="1" applyAlignment="1">
      <alignment vertical="top"/>
    </xf>
    <xf numFmtId="42" fontId="11" fillId="6" borderId="3" xfId="0" applyNumberFormat="1" applyFont="1" applyFill="1" applyBorder="1"/>
    <xf numFmtId="164" fontId="11" fillId="5" borderId="4" xfId="2" applyNumberFormat="1" applyFont="1" applyFill="1" applyBorder="1" applyAlignment="1">
      <alignment vertical="center"/>
    </xf>
    <xf numFmtId="9" fontId="11" fillId="7" borderId="4" xfId="0" applyNumberFormat="1" applyFont="1" applyFill="1" applyBorder="1" applyAlignment="1">
      <alignment horizontal="center"/>
    </xf>
    <xf numFmtId="164" fontId="11" fillId="7" borderId="4" xfId="0" applyNumberFormat="1" applyFont="1" applyFill="1" applyBorder="1"/>
    <xf numFmtId="0" fontId="11" fillId="6" borderId="4" xfId="0" applyFont="1" applyFill="1" applyBorder="1" applyAlignment="1">
      <alignment horizontal="center"/>
    </xf>
    <xf numFmtId="42" fontId="11" fillId="6" borderId="4" xfId="2" applyNumberFormat="1" applyFont="1" applyFill="1" applyBorder="1" applyAlignment="1">
      <alignment vertical="center"/>
    </xf>
    <xf numFmtId="164" fontId="11" fillId="3" borderId="4" xfId="2" applyNumberFormat="1" applyFont="1" applyFill="1" applyBorder="1" applyAlignment="1">
      <alignment vertical="top"/>
    </xf>
    <xf numFmtId="0" fontId="12" fillId="2" borderId="4" xfId="0" applyFont="1" applyFill="1" applyBorder="1" applyAlignment="1">
      <alignment horizontal="center" vertical="center" wrapText="1"/>
    </xf>
    <xf numFmtId="0" fontId="12" fillId="2" borderId="4" xfId="0" applyFont="1" applyFill="1" applyBorder="1" applyAlignment="1">
      <alignment vertical="top"/>
    </xf>
    <xf numFmtId="0" fontId="13" fillId="17" borderId="5"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8" borderId="5" xfId="0" applyFont="1" applyFill="1" applyBorder="1" applyAlignment="1">
      <alignment horizontal="center" vertical="center" wrapText="1"/>
    </xf>
    <xf numFmtId="42" fontId="13" fillId="18" borderId="5" xfId="0" applyNumberFormat="1" applyFont="1" applyFill="1" applyBorder="1" applyAlignment="1">
      <alignment horizontal="center" vertical="center" wrapText="1"/>
    </xf>
    <xf numFmtId="164" fontId="13" fillId="15" borderId="5" xfId="2" applyNumberFormat="1" applyFont="1" applyFill="1" applyBorder="1" applyAlignment="1">
      <alignment horizontal="center" vertical="center" wrapText="1"/>
    </xf>
    <xf numFmtId="0" fontId="13" fillId="15" borderId="5" xfId="0" applyFont="1" applyFill="1" applyBorder="1" applyAlignment="1">
      <alignment horizontal="center" vertical="center" wrapText="1"/>
    </xf>
    <xf numFmtId="0" fontId="13" fillId="14" borderId="5" xfId="0" applyFont="1" applyFill="1" applyBorder="1" applyAlignment="1">
      <alignment horizontal="center" vertical="center"/>
    </xf>
    <xf numFmtId="0" fontId="14" fillId="0" borderId="6" xfId="0" applyFont="1" applyBorder="1" applyAlignment="1">
      <alignment horizontal="center" vertical="center"/>
    </xf>
    <xf numFmtId="0" fontId="15" fillId="20" borderId="2" xfId="0" applyFont="1" applyFill="1" applyBorder="1" applyAlignment="1">
      <alignment horizontal="left" wrapText="1"/>
    </xf>
    <xf numFmtId="0" fontId="12" fillId="20" borderId="7" xfId="0" applyFont="1" applyFill="1" applyBorder="1" applyAlignment="1">
      <alignment horizontal="left" wrapText="1"/>
    </xf>
    <xf numFmtId="0" fontId="12" fillId="20" borderId="2" xfId="0" applyFont="1" applyFill="1" applyBorder="1" applyAlignment="1">
      <alignment horizontal="center" vertical="center" wrapText="1"/>
    </xf>
    <xf numFmtId="0" fontId="12" fillId="20" borderId="2" xfId="0" applyFont="1" applyFill="1" applyBorder="1" applyAlignment="1">
      <alignment vertical="top"/>
    </xf>
    <xf numFmtId="0" fontId="15" fillId="20" borderId="3" xfId="0" applyFont="1" applyFill="1" applyBorder="1" applyAlignment="1">
      <alignment horizontal="left" wrapText="1"/>
    </xf>
    <xf numFmtId="0" fontId="12" fillId="20" borderId="8" xfId="0" applyFont="1" applyFill="1" applyBorder="1" applyAlignment="1">
      <alignment horizontal="left" wrapText="1"/>
    </xf>
    <xf numFmtId="0" fontId="12" fillId="20" borderId="3" xfId="0" applyFont="1" applyFill="1" applyBorder="1" applyAlignment="1">
      <alignment horizontal="center" vertical="center" wrapText="1"/>
    </xf>
    <xf numFmtId="0" fontId="12" fillId="20" borderId="3" xfId="0" applyFont="1" applyFill="1" applyBorder="1" applyAlignment="1">
      <alignment vertical="top"/>
    </xf>
    <xf numFmtId="0" fontId="15" fillId="20" borderId="9" xfId="0" applyFont="1" applyFill="1" applyBorder="1" applyAlignment="1">
      <alignment horizontal="left" wrapText="1"/>
    </xf>
    <xf numFmtId="0" fontId="12" fillId="20" borderId="10" xfId="0" applyFont="1" applyFill="1" applyBorder="1" applyAlignment="1">
      <alignment horizontal="left" wrapText="1"/>
    </xf>
    <xf numFmtId="0" fontId="12" fillId="20" borderId="4" xfId="0" applyFont="1" applyFill="1" applyBorder="1" applyAlignment="1">
      <alignment horizontal="center" vertical="center" wrapText="1"/>
    </xf>
    <xf numFmtId="0" fontId="12" fillId="20" borderId="4" xfId="0" applyFont="1" applyFill="1" applyBorder="1" applyAlignment="1">
      <alignment vertical="top"/>
    </xf>
    <xf numFmtId="0" fontId="16" fillId="20" borderId="5" xfId="0" applyFont="1" applyFill="1" applyBorder="1" applyAlignment="1">
      <alignment horizontal="center" vertical="center"/>
    </xf>
    <xf numFmtId="0" fontId="17" fillId="20" borderId="5" xfId="0" applyFont="1" applyFill="1" applyBorder="1" applyAlignment="1">
      <alignment horizontal="center" vertical="center" wrapText="1"/>
    </xf>
    <xf numFmtId="0" fontId="17" fillId="20" borderId="5" xfId="0" applyFont="1" applyFill="1" applyBorder="1" applyAlignment="1">
      <alignment horizontal="center" vertical="center"/>
    </xf>
    <xf numFmtId="0" fontId="0" fillId="0" borderId="0" xfId="0" applyAlignment="1">
      <alignment horizontal="left"/>
    </xf>
    <xf numFmtId="0" fontId="14" fillId="0" borderId="0" xfId="0" applyFont="1" applyAlignment="1">
      <alignment horizontal="left" vertical="center"/>
    </xf>
    <xf numFmtId="0" fontId="14" fillId="0" borderId="6" xfId="0" applyFont="1" applyBorder="1" applyAlignment="1">
      <alignment horizontal="centerContinuous" vertical="center"/>
    </xf>
    <xf numFmtId="0" fontId="18" fillId="0" borderId="0" xfId="0" applyFont="1"/>
    <xf numFmtId="42" fontId="19" fillId="2" borderId="1" xfId="0" applyNumberFormat="1" applyFont="1" applyFill="1" applyBorder="1"/>
    <xf numFmtId="42" fontId="19" fillId="3" borderId="1" xfId="0" applyNumberFormat="1" applyFont="1" applyFill="1" applyBorder="1"/>
    <xf numFmtId="9" fontId="19" fillId="4" borderId="1" xfId="0" applyNumberFormat="1" applyFont="1" applyFill="1" applyBorder="1"/>
    <xf numFmtId="42" fontId="19" fillId="4" borderId="1" xfId="0" applyNumberFormat="1" applyFont="1" applyFill="1" applyBorder="1"/>
    <xf numFmtId="9" fontId="19" fillId="5" borderId="1" xfId="0" applyNumberFormat="1" applyFont="1" applyFill="1" applyBorder="1"/>
    <xf numFmtId="42" fontId="19" fillId="5" borderId="1" xfId="0" applyNumberFormat="1" applyFont="1" applyFill="1" applyBorder="1"/>
    <xf numFmtId="9" fontId="19" fillId="6" borderId="1" xfId="0" applyNumberFormat="1" applyFont="1" applyFill="1" applyBorder="1"/>
    <xf numFmtId="42" fontId="19" fillId="6" borderId="1" xfId="0" applyNumberFormat="1" applyFont="1" applyFill="1" applyBorder="1"/>
    <xf numFmtId="9" fontId="19" fillId="7" borderId="1" xfId="0" applyNumberFormat="1" applyFont="1" applyFill="1" applyBorder="1"/>
    <xf numFmtId="42" fontId="19" fillId="7" borderId="1" xfId="0" applyNumberFormat="1" applyFont="1" applyFill="1" applyBorder="1"/>
    <xf numFmtId="0" fontId="19" fillId="0" borderId="1" xfId="0" applyFont="1" applyBorder="1"/>
    <xf numFmtId="0" fontId="18" fillId="0" borderId="0" xfId="0" applyFont="1" applyAlignment="1">
      <alignment horizontal="center" vertical="center"/>
    </xf>
    <xf numFmtId="0" fontId="19" fillId="0" borderId="0" xfId="0" applyFont="1" applyAlignment="1">
      <alignment horizontal="center" vertical="center" textRotation="90"/>
    </xf>
    <xf numFmtId="42" fontId="18" fillId="2" borderId="0" xfId="0" applyNumberFormat="1" applyFont="1" applyFill="1"/>
    <xf numFmtId="42" fontId="18" fillId="3" borderId="0" xfId="0" applyNumberFormat="1" applyFont="1" applyFill="1"/>
    <xf numFmtId="9" fontId="18" fillId="4" borderId="0" xfId="0" applyNumberFormat="1" applyFont="1" applyFill="1"/>
    <xf numFmtId="42" fontId="18" fillId="4" borderId="0" xfId="0" applyNumberFormat="1" applyFont="1" applyFill="1"/>
    <xf numFmtId="9" fontId="18" fillId="5" borderId="0" xfId="0" applyNumberFormat="1" applyFont="1" applyFill="1"/>
    <xf numFmtId="42" fontId="18" fillId="5" borderId="0" xfId="0" applyNumberFormat="1" applyFont="1" applyFill="1"/>
    <xf numFmtId="9" fontId="18" fillId="6" borderId="0" xfId="0" applyNumberFormat="1" applyFont="1" applyFill="1"/>
    <xf numFmtId="42" fontId="18" fillId="6" borderId="0" xfId="0" applyNumberFormat="1" applyFont="1" applyFill="1"/>
    <xf numFmtId="9" fontId="18" fillId="7" borderId="0" xfId="0" applyNumberFormat="1" applyFont="1" applyFill="1"/>
    <xf numFmtId="42" fontId="18" fillId="7" borderId="0" xfId="0" applyNumberFormat="1" applyFont="1" applyFill="1"/>
    <xf numFmtId="42" fontId="20" fillId="8" borderId="0" xfId="0" applyNumberFormat="1" applyFont="1" applyFill="1" applyAlignment="1">
      <alignment horizontal="center"/>
    </xf>
    <xf numFmtId="42" fontId="20" fillId="9" borderId="0" xfId="0" applyNumberFormat="1" applyFont="1" applyFill="1" applyAlignment="1">
      <alignment horizontal="center"/>
    </xf>
    <xf numFmtId="9" fontId="20" fillId="10" borderId="0" xfId="0" applyNumberFormat="1" applyFont="1" applyFill="1" applyAlignment="1">
      <alignment horizontal="center"/>
    </xf>
    <xf numFmtId="0" fontId="20" fillId="10" borderId="0" xfId="0" applyFont="1" applyFill="1" applyAlignment="1">
      <alignment horizontal="center"/>
    </xf>
    <xf numFmtId="9" fontId="20" fillId="11" borderId="0" xfId="0" applyNumberFormat="1" applyFont="1" applyFill="1" applyAlignment="1">
      <alignment horizontal="center"/>
    </xf>
    <xf numFmtId="0" fontId="20" fillId="11" borderId="0" xfId="0" applyFont="1" applyFill="1" applyAlignment="1">
      <alignment horizontal="center"/>
    </xf>
    <xf numFmtId="9" fontId="20" fillId="12" borderId="0" xfId="0" applyNumberFormat="1" applyFont="1" applyFill="1" applyAlignment="1">
      <alignment horizontal="center"/>
    </xf>
    <xf numFmtId="0" fontId="20" fillId="12" borderId="0" xfId="0" applyFont="1" applyFill="1" applyAlignment="1">
      <alignment horizontal="center"/>
    </xf>
    <xf numFmtId="9" fontId="20" fillId="13" borderId="0" xfId="0" applyNumberFormat="1" applyFont="1" applyFill="1" applyAlignment="1">
      <alignment horizontal="center"/>
    </xf>
    <xf numFmtId="0" fontId="20" fillId="13" borderId="0" xfId="0" applyFont="1" applyFill="1" applyAlignment="1">
      <alignment horizontal="center"/>
    </xf>
    <xf numFmtId="0" fontId="19" fillId="0" borderId="0" xfId="0" applyFont="1"/>
    <xf numFmtId="42" fontId="21" fillId="14" borderId="0" xfId="0" applyNumberFormat="1" applyFont="1" applyFill="1" applyAlignment="1">
      <alignment horizontal="center"/>
    </xf>
    <xf numFmtId="42" fontId="21" fillId="15" borderId="0" xfId="0" applyNumberFormat="1" applyFont="1" applyFill="1" applyAlignment="1">
      <alignment horizontal="center"/>
    </xf>
    <xf numFmtId="9" fontId="21" fillId="16" borderId="0" xfId="0" applyNumberFormat="1" applyFont="1" applyFill="1" applyAlignment="1">
      <alignment horizontal="centerContinuous"/>
    </xf>
    <xf numFmtId="0" fontId="21" fillId="16" borderId="0" xfId="0" applyFont="1" applyFill="1" applyAlignment="1">
      <alignment horizontal="centerContinuous"/>
    </xf>
    <xf numFmtId="9" fontId="21" fillId="17" borderId="0" xfId="0" applyNumberFormat="1" applyFont="1" applyFill="1" applyAlignment="1">
      <alignment horizontal="centerContinuous"/>
    </xf>
    <xf numFmtId="0" fontId="21" fillId="17" borderId="0" xfId="0" applyFont="1" applyFill="1" applyAlignment="1">
      <alignment horizontal="centerContinuous"/>
    </xf>
    <xf numFmtId="9" fontId="21" fillId="18" borderId="0" xfId="0" applyNumberFormat="1" applyFont="1" applyFill="1" applyAlignment="1">
      <alignment horizontal="centerContinuous"/>
    </xf>
    <xf numFmtId="0" fontId="21" fillId="18" borderId="0" xfId="0" applyFont="1" applyFill="1" applyAlignment="1">
      <alignment horizontal="centerContinuous"/>
    </xf>
    <xf numFmtId="9" fontId="21" fillId="19" borderId="0" xfId="0" applyNumberFormat="1" applyFont="1" applyFill="1" applyAlignment="1">
      <alignment horizontal="centerContinuous"/>
    </xf>
    <xf numFmtId="0" fontId="21" fillId="19" borderId="0" xfId="0" applyFont="1" applyFill="1" applyAlignment="1">
      <alignment horizontal="centerContinuous"/>
    </xf>
    <xf numFmtId="0" fontId="18" fillId="0" borderId="11" xfId="0" applyFont="1" applyBorder="1" applyAlignment="1">
      <alignment wrapText="1"/>
    </xf>
    <xf numFmtId="0" fontId="18" fillId="0" borderId="11" xfId="0" applyFont="1" applyBorder="1"/>
    <xf numFmtId="0" fontId="19" fillId="0" borderId="11" xfId="0" applyFont="1" applyBorder="1"/>
    <xf numFmtId="9" fontId="11" fillId="7" borderId="2" xfId="0" applyNumberFormat="1" applyFont="1" applyFill="1" applyBorder="1"/>
    <xf numFmtId="0" fontId="11" fillId="6" borderId="2" xfId="0" applyFont="1" applyFill="1" applyBorder="1"/>
    <xf numFmtId="164" fontId="11" fillId="6" borderId="2" xfId="2" applyNumberFormat="1" applyFont="1" applyFill="1" applyBorder="1" applyAlignment="1">
      <alignment vertical="center"/>
    </xf>
    <xf numFmtId="44" fontId="11" fillId="3" borderId="2" xfId="2" applyFont="1" applyFill="1" applyBorder="1" applyAlignment="1">
      <alignment vertical="top"/>
    </xf>
    <xf numFmtId="0" fontId="12" fillId="2" borderId="2" xfId="0" applyFont="1" applyFill="1" applyBorder="1" applyAlignment="1">
      <alignment horizontal="center" vertical="center"/>
    </xf>
    <xf numFmtId="164" fontId="11" fillId="5" borderId="3" xfId="2" applyNumberFormat="1" applyFont="1" applyFill="1" applyBorder="1" applyAlignment="1">
      <alignment vertical="center"/>
    </xf>
    <xf numFmtId="9" fontId="11" fillId="7" borderId="3" xfId="0" applyNumberFormat="1" applyFont="1" applyFill="1" applyBorder="1"/>
    <xf numFmtId="0" fontId="11" fillId="6" borderId="3" xfId="0" applyFont="1" applyFill="1" applyBorder="1"/>
    <xf numFmtId="164" fontId="11" fillId="6" borderId="3" xfId="2" applyNumberFormat="1" applyFont="1" applyFill="1" applyBorder="1" applyAlignment="1">
      <alignment vertical="center"/>
    </xf>
    <xf numFmtId="44" fontId="11" fillId="3" borderId="3" xfId="2" applyFont="1" applyFill="1" applyBorder="1" applyAlignment="1">
      <alignment vertical="top"/>
    </xf>
    <xf numFmtId="0" fontId="12" fillId="2" borderId="3" xfId="0" applyFont="1" applyFill="1" applyBorder="1" applyAlignment="1">
      <alignment horizontal="center" vertical="center"/>
    </xf>
    <xf numFmtId="42" fontId="11" fillId="6" borderId="3" xfId="2" applyNumberFormat="1" applyFont="1" applyFill="1" applyBorder="1" applyAlignment="1">
      <alignment vertical="top"/>
    </xf>
    <xf numFmtId="164" fontId="12" fillId="2" borderId="3" xfId="2" applyNumberFormat="1" applyFont="1" applyFill="1" applyBorder="1" applyAlignment="1">
      <alignment horizontal="center" vertical="center" wrapText="1"/>
    </xf>
    <xf numFmtId="9" fontId="11" fillId="7" borderId="4" xfId="0" applyNumberFormat="1" applyFont="1" applyFill="1" applyBorder="1"/>
    <xf numFmtId="0" fontId="11" fillId="6" borderId="4" xfId="0" applyFont="1" applyFill="1" applyBorder="1"/>
    <xf numFmtId="0" fontId="14" fillId="0" borderId="0" xfId="0" applyFont="1" applyAlignment="1">
      <alignment horizontal="centerContinuous" vertical="center"/>
    </xf>
    <xf numFmtId="0" fontId="0" fillId="0" borderId="2" xfId="0" applyBorder="1" applyAlignment="1">
      <alignment horizontal="left" vertical="center" wrapText="1"/>
    </xf>
    <xf numFmtId="0" fontId="11" fillId="20" borderId="8" xfId="0" applyFont="1" applyFill="1" applyBorder="1" applyAlignment="1">
      <alignment vertical="center" wrapText="1"/>
    </xf>
    <xf numFmtId="0" fontId="12" fillId="20" borderId="3" xfId="0" applyFont="1" applyFill="1" applyBorder="1" applyAlignment="1">
      <alignment vertical="top" wrapText="1"/>
    </xf>
    <xf numFmtId="0" fontId="0" fillId="0" borderId="3" xfId="0" applyBorder="1" applyAlignment="1">
      <alignment horizontal="left" vertical="center" wrapText="1"/>
    </xf>
    <xf numFmtId="0" fontId="0" fillId="0" borderId="9" xfId="0" applyBorder="1" applyAlignment="1">
      <alignment horizontal="left" vertical="center" wrapText="1"/>
    </xf>
    <xf numFmtId="0" fontId="11" fillId="20" borderId="10" xfId="0" applyFont="1" applyFill="1" applyBorder="1" applyAlignment="1">
      <alignment vertical="center" wrapText="1"/>
    </xf>
    <xf numFmtId="0" fontId="12" fillId="20" borderId="4" xfId="0" applyFont="1" applyFill="1" applyBorder="1" applyAlignment="1">
      <alignment vertical="top" wrapText="1"/>
    </xf>
    <xf numFmtId="0" fontId="17" fillId="20" borderId="12" xfId="0" applyFont="1" applyFill="1" applyBorder="1" applyAlignment="1">
      <alignment horizontal="center" vertical="center" wrapText="1"/>
    </xf>
    <xf numFmtId="0" fontId="0" fillId="0" borderId="0" xfId="0" applyAlignment="1">
      <alignment horizontal="centerContinuous"/>
    </xf>
    <xf numFmtId="0" fontId="5" fillId="0" borderId="1" xfId="0" applyFont="1" applyBorder="1"/>
    <xf numFmtId="0" fontId="2" fillId="0" borderId="0" xfId="0" applyFont="1" applyAlignment="1">
      <alignment horizontal="center" vertical="center" textRotation="90"/>
    </xf>
    <xf numFmtId="42" fontId="2" fillId="2" borderId="0" xfId="0" applyNumberFormat="1" applyFont="1" applyFill="1"/>
    <xf numFmtId="42" fontId="2" fillId="3" borderId="0" xfId="0" applyNumberFormat="1" applyFont="1" applyFill="1"/>
    <xf numFmtId="42" fontId="2" fillId="4" borderId="0" xfId="0" applyNumberFormat="1" applyFont="1" applyFill="1"/>
    <xf numFmtId="42" fontId="2" fillId="5" borderId="0" xfId="0" applyNumberFormat="1" applyFont="1" applyFill="1"/>
    <xf numFmtId="42" fontId="2" fillId="6" borderId="0" xfId="0" applyNumberFormat="1" applyFont="1" applyFill="1"/>
    <xf numFmtId="0" fontId="2" fillId="7" borderId="0" xfId="0" applyFont="1" applyFill="1"/>
    <xf numFmtId="42" fontId="2" fillId="7" borderId="0" xfId="0" applyNumberFormat="1" applyFont="1" applyFill="1"/>
    <xf numFmtId="0" fontId="22" fillId="0" borderId="0" xfId="0" applyFont="1" applyAlignment="1">
      <alignment horizontal="center" vertical="center"/>
    </xf>
    <xf numFmtId="42" fontId="6" fillId="8" borderId="0" xfId="0" applyNumberFormat="1" applyFont="1" applyFill="1" applyAlignment="1">
      <alignment horizontal="center" vertical="center"/>
    </xf>
    <xf numFmtId="42" fontId="6" fillId="9" borderId="0" xfId="0" applyNumberFormat="1" applyFont="1" applyFill="1" applyAlignment="1">
      <alignment horizontal="center" vertical="center"/>
    </xf>
    <xf numFmtId="9" fontId="6" fillId="10" borderId="0" xfId="0" applyNumberFormat="1" applyFont="1" applyFill="1" applyAlignment="1">
      <alignment horizontal="center" vertical="center"/>
    </xf>
    <xf numFmtId="0" fontId="6" fillId="10" borderId="0" xfId="0" applyFont="1" applyFill="1" applyAlignment="1">
      <alignment horizontal="center" vertical="center"/>
    </xf>
    <xf numFmtId="9" fontId="6" fillId="11" borderId="0" xfId="0" applyNumberFormat="1" applyFont="1" applyFill="1" applyAlignment="1">
      <alignment horizontal="center" vertical="center"/>
    </xf>
    <xf numFmtId="0" fontId="6" fillId="11" borderId="0" xfId="0" applyFont="1" applyFill="1" applyAlignment="1">
      <alignment horizontal="center" vertical="center"/>
    </xf>
    <xf numFmtId="9" fontId="6" fillId="12" borderId="0" xfId="0" applyNumberFormat="1" applyFont="1" applyFill="1" applyAlignment="1">
      <alignment horizontal="center" vertical="center"/>
    </xf>
    <xf numFmtId="0" fontId="6" fillId="12" borderId="0" xfId="0" applyFont="1" applyFill="1" applyAlignment="1">
      <alignment horizontal="center" vertical="center"/>
    </xf>
    <xf numFmtId="9" fontId="6" fillId="13" borderId="0" xfId="0" applyNumberFormat="1" applyFont="1" applyFill="1" applyAlignment="1">
      <alignment horizontal="center" vertical="center"/>
    </xf>
    <xf numFmtId="0" fontId="6" fillId="13" borderId="0" xfId="0" applyFont="1" applyFill="1" applyAlignment="1">
      <alignment horizontal="center" vertical="center"/>
    </xf>
    <xf numFmtId="0" fontId="4" fillId="0" borderId="0" xfId="0" applyFont="1" applyAlignment="1">
      <alignment horizontal="center" vertical="center"/>
    </xf>
    <xf numFmtId="0" fontId="11" fillId="0" borderId="0" xfId="0" applyFont="1" applyAlignment="1">
      <alignment wrapText="1"/>
    </xf>
    <xf numFmtId="0" fontId="11" fillId="0" borderId="0" xfId="0" applyFont="1" applyAlignment="1">
      <alignment horizontal="center" vertical="center"/>
    </xf>
    <xf numFmtId="0" fontId="23" fillId="0" borderId="0" xfId="0" applyFont="1" applyAlignment="1">
      <alignment horizontal="center" vertical="center"/>
    </xf>
    <xf numFmtId="0" fontId="14" fillId="0" borderId="0" xfId="0" applyFont="1" applyAlignment="1">
      <alignment horizontal="center" vertical="center"/>
    </xf>
    <xf numFmtId="164" fontId="11" fillId="6" borderId="7" xfId="2" applyNumberFormat="1" applyFont="1" applyFill="1" applyBorder="1" applyAlignment="1">
      <alignment vertical="center"/>
    </xf>
    <xf numFmtId="164" fontId="11" fillId="3" borderId="13" xfId="2" applyNumberFormat="1" applyFont="1" applyFill="1" applyBorder="1" applyAlignment="1">
      <alignment vertical="top"/>
    </xf>
    <xf numFmtId="164" fontId="11" fillId="6" borderId="8" xfId="2" applyNumberFormat="1" applyFont="1" applyFill="1" applyBorder="1" applyAlignment="1">
      <alignment vertical="center"/>
    </xf>
    <xf numFmtId="164" fontId="11" fillId="3" borderId="14" xfId="2" applyNumberFormat="1" applyFont="1" applyFill="1" applyBorder="1" applyAlignment="1">
      <alignment vertical="top"/>
    </xf>
    <xf numFmtId="49" fontId="12" fillId="2" borderId="3" xfId="1" applyNumberFormat="1" applyFont="1" applyFill="1" applyBorder="1" applyAlignment="1">
      <alignment vertical="center"/>
    </xf>
    <xf numFmtId="42" fontId="11" fillId="6" borderId="8" xfId="0" applyNumberFormat="1" applyFont="1" applyFill="1" applyBorder="1"/>
    <xf numFmtId="42" fontId="11" fillId="6" borderId="8" xfId="2" applyNumberFormat="1" applyFont="1" applyFill="1" applyBorder="1" applyAlignment="1">
      <alignment vertical="center"/>
    </xf>
    <xf numFmtId="164" fontId="12" fillId="2" borderId="3" xfId="2" applyNumberFormat="1" applyFont="1" applyFill="1" applyBorder="1" applyAlignment="1">
      <alignment vertical="top"/>
    </xf>
    <xf numFmtId="42" fontId="11" fillId="6" borderId="10" xfId="2" applyNumberFormat="1" applyFont="1" applyFill="1" applyBorder="1" applyAlignment="1">
      <alignment vertical="center"/>
    </xf>
    <xf numFmtId="164" fontId="11" fillId="3" borderId="15" xfId="2" applyNumberFormat="1" applyFont="1" applyFill="1" applyBorder="1" applyAlignment="1">
      <alignment vertical="top"/>
    </xf>
    <xf numFmtId="164" fontId="12" fillId="2" borderId="4" xfId="2" applyNumberFormat="1" applyFont="1" applyFill="1" applyBorder="1" applyAlignment="1">
      <alignment horizontal="center" vertical="center" wrapText="1"/>
    </xf>
    <xf numFmtId="164" fontId="12" fillId="2" borderId="4" xfId="2" applyNumberFormat="1" applyFont="1" applyFill="1" applyBorder="1" applyAlignment="1">
      <alignment vertical="top"/>
    </xf>
    <xf numFmtId="42" fontId="13" fillId="18" borderId="16" xfId="0" applyNumberFormat="1" applyFont="1" applyFill="1" applyBorder="1" applyAlignment="1">
      <alignment horizontal="center" vertical="center" wrapText="1"/>
    </xf>
    <xf numFmtId="0" fontId="13" fillId="15" borderId="17" xfId="0" applyFont="1" applyFill="1" applyBorder="1" applyAlignment="1">
      <alignment horizontal="center" vertical="center" wrapText="1"/>
    </xf>
    <xf numFmtId="0" fontId="11" fillId="0" borderId="0" xfId="0" applyFont="1" applyAlignment="1">
      <alignment horizontal="centerContinuous" vertical="center"/>
    </xf>
    <xf numFmtId="0" fontId="0" fillId="20" borderId="18" xfId="0" applyFill="1" applyBorder="1" applyAlignment="1">
      <alignment wrapText="1"/>
    </xf>
    <xf numFmtId="0" fontId="11" fillId="20" borderId="19" xfId="0" applyFont="1" applyFill="1" applyBorder="1" applyAlignment="1">
      <alignment horizontal="left" vertical="center" wrapText="1"/>
    </xf>
    <xf numFmtId="0" fontId="0" fillId="20" borderId="20" xfId="0" applyFill="1" applyBorder="1" applyAlignment="1">
      <alignment wrapText="1"/>
    </xf>
    <xf numFmtId="0" fontId="11" fillId="20" borderId="21" xfId="0" applyFont="1" applyFill="1" applyBorder="1" applyAlignment="1">
      <alignment horizontal="left" vertical="center" wrapText="1"/>
    </xf>
    <xf numFmtId="0" fontId="12" fillId="20" borderId="3" xfId="0" applyFont="1" applyFill="1" applyBorder="1" applyAlignment="1">
      <alignment horizontal="center" vertical="center"/>
    </xf>
    <xf numFmtId="0" fontId="0" fillId="20" borderId="22" xfId="0" applyFill="1" applyBorder="1" applyAlignment="1">
      <alignment wrapText="1"/>
    </xf>
    <xf numFmtId="0" fontId="11" fillId="20" borderId="23" xfId="0" applyFont="1" applyFill="1" applyBorder="1" applyAlignment="1">
      <alignment horizontal="left" vertical="center" wrapText="1"/>
    </xf>
    <xf numFmtId="0" fontId="0" fillId="20" borderId="3" xfId="0" applyFill="1" applyBorder="1" applyAlignment="1">
      <alignment wrapText="1"/>
    </xf>
    <xf numFmtId="0" fontId="11" fillId="20" borderId="8" xfId="0" applyFont="1" applyFill="1" applyBorder="1" applyAlignment="1">
      <alignment wrapText="1"/>
    </xf>
    <xf numFmtId="49" fontId="12" fillId="20" borderId="3" xfId="1" applyNumberFormat="1" applyFont="1" applyFill="1" applyBorder="1" applyAlignment="1">
      <alignment vertical="center"/>
    </xf>
    <xf numFmtId="0" fontId="0" fillId="20" borderId="4" xfId="0" applyFill="1" applyBorder="1" applyAlignment="1">
      <alignment wrapText="1"/>
    </xf>
    <xf numFmtId="0" fontId="11" fillId="20" borderId="8" xfId="0" applyFont="1" applyFill="1" applyBorder="1" applyAlignment="1">
      <alignment horizontal="left" wrapText="1"/>
    </xf>
    <xf numFmtId="164" fontId="12" fillId="20" borderId="3" xfId="2" applyNumberFormat="1" applyFont="1" applyFill="1" applyBorder="1" applyAlignment="1">
      <alignment horizontal="center" vertical="center" wrapText="1"/>
    </xf>
    <xf numFmtId="164" fontId="12" fillId="20" borderId="3" xfId="2" applyNumberFormat="1" applyFont="1" applyFill="1" applyBorder="1" applyAlignment="1">
      <alignment vertical="top"/>
    </xf>
    <xf numFmtId="0" fontId="0" fillId="20" borderId="12" xfId="0" applyFill="1" applyBorder="1" applyAlignment="1">
      <alignment wrapText="1"/>
    </xf>
    <xf numFmtId="0" fontId="11" fillId="20" borderId="10" xfId="0" applyFont="1" applyFill="1" applyBorder="1" applyAlignment="1">
      <alignment horizontal="left" wrapText="1"/>
    </xf>
    <xf numFmtId="164" fontId="12" fillId="20" borderId="4" xfId="2" applyNumberFormat="1" applyFont="1" applyFill="1" applyBorder="1" applyAlignment="1">
      <alignment horizontal="center" vertical="center" wrapText="1"/>
    </xf>
    <xf numFmtId="164" fontId="12" fillId="20" borderId="4" xfId="2" applyNumberFormat="1" applyFont="1" applyFill="1" applyBorder="1" applyAlignment="1">
      <alignment vertical="top"/>
    </xf>
    <xf numFmtId="0" fontId="16" fillId="20" borderId="5" xfId="0" applyFont="1" applyFill="1" applyBorder="1" applyAlignment="1">
      <alignment horizontal="center" wrapText="1"/>
    </xf>
    <xf numFmtId="0" fontId="17" fillId="20" borderId="16" xfId="0" applyFont="1" applyFill="1" applyBorder="1" applyAlignment="1">
      <alignment horizontal="center" vertical="center" wrapText="1"/>
    </xf>
    <xf numFmtId="0" fontId="0" fillId="0" borderId="0" xfId="0" applyAlignment="1">
      <alignment horizontal="centerContinuous" wrapText="1"/>
    </xf>
    <xf numFmtId="42" fontId="5" fillId="2" borderId="2" xfId="0" applyNumberFormat="1" applyFont="1" applyFill="1" applyBorder="1"/>
    <xf numFmtId="42" fontId="5" fillId="3" borderId="2" xfId="0" applyNumberFormat="1" applyFont="1" applyFill="1" applyBorder="1"/>
    <xf numFmtId="9" fontId="5" fillId="4" borderId="13" xfId="0" applyNumberFormat="1" applyFont="1" applyFill="1" applyBorder="1"/>
    <xf numFmtId="42" fontId="5" fillId="4" borderId="24" xfId="0" applyNumberFormat="1" applyFont="1" applyFill="1" applyBorder="1"/>
    <xf numFmtId="42" fontId="5" fillId="4" borderId="7" xfId="0" applyNumberFormat="1" applyFont="1" applyFill="1" applyBorder="1"/>
    <xf numFmtId="9" fontId="5" fillId="5" borderId="13" xfId="0" applyNumberFormat="1" applyFont="1" applyFill="1" applyBorder="1"/>
    <xf numFmtId="42" fontId="5" fillId="5" borderId="24" xfId="0" applyNumberFormat="1" applyFont="1" applyFill="1" applyBorder="1"/>
    <xf numFmtId="42" fontId="5" fillId="5" borderId="7" xfId="0" applyNumberFormat="1" applyFont="1" applyFill="1" applyBorder="1"/>
    <xf numFmtId="9" fontId="5" fillId="6" borderId="13" xfId="0" applyNumberFormat="1" applyFont="1" applyFill="1" applyBorder="1"/>
    <xf numFmtId="42" fontId="5" fillId="6" borderId="24" xfId="0" applyNumberFormat="1" applyFont="1" applyFill="1" applyBorder="1"/>
    <xf numFmtId="42" fontId="5" fillId="6" borderId="7" xfId="0" applyNumberFormat="1" applyFont="1" applyFill="1" applyBorder="1"/>
    <xf numFmtId="9" fontId="5" fillId="7" borderId="13" xfId="0" applyNumberFormat="1" applyFont="1" applyFill="1" applyBorder="1"/>
    <xf numFmtId="42" fontId="5" fillId="7" borderId="24" xfId="0" applyNumberFormat="1" applyFont="1" applyFill="1" applyBorder="1"/>
    <xf numFmtId="42" fontId="5" fillId="7" borderId="7" xfId="0" applyNumberFormat="1" applyFont="1" applyFill="1" applyBorder="1"/>
    <xf numFmtId="0" fontId="5" fillId="0" borderId="13" xfId="0" applyFont="1" applyBorder="1" applyAlignment="1">
      <alignment horizontal="right"/>
    </xf>
    <xf numFmtId="0" fontId="5" fillId="0" borderId="7" xfId="0" applyFont="1" applyBorder="1" applyAlignment="1">
      <alignment horizontal="right"/>
    </xf>
    <xf numFmtId="0" fontId="0" fillId="0" borderId="18" xfId="0" applyBorder="1"/>
    <xf numFmtId="0" fontId="2" fillId="0" borderId="18" xfId="0" applyFont="1" applyBorder="1" applyAlignment="1">
      <alignment horizontal="center" vertical="center" textRotation="90"/>
    </xf>
    <xf numFmtId="42" fontId="2" fillId="2" borderId="20" xfId="0" applyNumberFormat="1" applyFont="1" applyFill="1" applyBorder="1"/>
    <xf numFmtId="42" fontId="2" fillId="3" borderId="20" xfId="0" applyNumberFormat="1" applyFont="1" applyFill="1" applyBorder="1"/>
    <xf numFmtId="9" fontId="2" fillId="4" borderId="25" xfId="0" applyNumberFormat="1" applyFont="1" applyFill="1" applyBorder="1"/>
    <xf numFmtId="0" fontId="2" fillId="4" borderId="0" xfId="0" applyFont="1" applyFill="1"/>
    <xf numFmtId="0" fontId="2" fillId="4" borderId="21" xfId="0" applyFont="1" applyFill="1" applyBorder="1"/>
    <xf numFmtId="9" fontId="2" fillId="5" borderId="25" xfId="0" applyNumberFormat="1" applyFont="1" applyFill="1" applyBorder="1"/>
    <xf numFmtId="0" fontId="2" fillId="5" borderId="0" xfId="0" applyFont="1" applyFill="1"/>
    <xf numFmtId="0" fontId="2" fillId="5" borderId="21" xfId="0" applyFont="1" applyFill="1" applyBorder="1"/>
    <xf numFmtId="9" fontId="2" fillId="6" borderId="25" xfId="0" applyNumberFormat="1" applyFont="1" applyFill="1" applyBorder="1"/>
    <xf numFmtId="0" fontId="2" fillId="6" borderId="0" xfId="0" applyFont="1" applyFill="1"/>
    <xf numFmtId="0" fontId="2" fillId="6" borderId="21" xfId="0" applyFont="1" applyFill="1" applyBorder="1"/>
    <xf numFmtId="9" fontId="2" fillId="7" borderId="25" xfId="0" applyNumberFormat="1" applyFont="1" applyFill="1" applyBorder="1"/>
    <xf numFmtId="0" fontId="2" fillId="7" borderId="21" xfId="0" applyFont="1" applyFill="1" applyBorder="1"/>
    <xf numFmtId="0" fontId="2" fillId="0" borderId="26" xfId="0" applyFont="1" applyBorder="1"/>
    <xf numFmtId="0" fontId="2" fillId="0" borderId="27" xfId="0" applyFont="1" applyBorder="1"/>
    <xf numFmtId="0" fontId="0" fillId="0" borderId="12" xfId="0" applyBorder="1"/>
    <xf numFmtId="0" fontId="2" fillId="0" borderId="20" xfId="0" applyFont="1" applyBorder="1" applyAlignment="1">
      <alignment horizontal="center" vertical="center" textRotation="90"/>
    </xf>
    <xf numFmtId="0" fontId="5" fillId="0" borderId="24" xfId="0" applyFont="1" applyBorder="1" applyAlignment="1">
      <alignment horizontal="right"/>
    </xf>
    <xf numFmtId="0" fontId="2" fillId="0" borderId="18" xfId="0" applyFont="1" applyBorder="1" applyAlignment="1">
      <alignment horizontal="center" vertical="center"/>
    </xf>
    <xf numFmtId="42" fontId="2" fillId="4" borderId="21" xfId="0" applyNumberFormat="1" applyFont="1" applyFill="1" applyBorder="1"/>
    <xf numFmtId="42" fontId="2" fillId="5" borderId="21" xfId="0" applyNumberFormat="1" applyFont="1" applyFill="1" applyBorder="1"/>
    <xf numFmtId="42" fontId="2" fillId="6" borderId="21" xfId="0" applyNumberFormat="1" applyFont="1" applyFill="1" applyBorder="1"/>
    <xf numFmtId="42" fontId="2" fillId="7" borderId="21" xfId="0" applyNumberFormat="1" applyFont="1" applyFill="1" applyBorder="1"/>
    <xf numFmtId="0" fontId="2" fillId="0" borderId="25" xfId="0" applyFont="1" applyBorder="1"/>
    <xf numFmtId="0" fontId="2" fillId="0" borderId="20" xfId="0" applyFont="1" applyBorder="1" applyAlignment="1">
      <alignment horizontal="center" vertical="center"/>
    </xf>
    <xf numFmtId="42" fontId="2" fillId="2" borderId="12" xfId="0" applyNumberFormat="1" applyFont="1" applyFill="1" applyBorder="1"/>
    <xf numFmtId="42" fontId="2" fillId="3" borderId="12" xfId="0" applyNumberFormat="1" applyFont="1" applyFill="1" applyBorder="1"/>
    <xf numFmtId="9" fontId="2" fillId="4" borderId="26" xfId="0" applyNumberFormat="1" applyFont="1" applyFill="1" applyBorder="1"/>
    <xf numFmtId="42" fontId="2" fillId="4" borderId="28" xfId="0" applyNumberFormat="1" applyFont="1" applyFill="1" applyBorder="1"/>
    <xf numFmtId="42" fontId="2" fillId="4" borderId="27" xfId="0" applyNumberFormat="1" applyFont="1" applyFill="1" applyBorder="1"/>
    <xf numFmtId="9" fontId="2" fillId="5" borderId="26" xfId="0" applyNumberFormat="1" applyFont="1" applyFill="1" applyBorder="1"/>
    <xf numFmtId="42" fontId="2" fillId="5" borderId="28" xfId="0" applyNumberFormat="1" applyFont="1" applyFill="1" applyBorder="1"/>
    <xf numFmtId="42" fontId="2" fillId="5" borderId="27" xfId="0" applyNumberFormat="1" applyFont="1" applyFill="1" applyBorder="1"/>
    <xf numFmtId="9" fontId="2" fillId="6" borderId="26" xfId="0" applyNumberFormat="1" applyFont="1" applyFill="1" applyBorder="1"/>
    <xf numFmtId="42" fontId="2" fillId="6" borderId="28" xfId="0" applyNumberFormat="1" applyFont="1" applyFill="1" applyBorder="1"/>
    <xf numFmtId="42" fontId="2" fillId="6" borderId="27" xfId="0" applyNumberFormat="1" applyFont="1" applyFill="1" applyBorder="1"/>
    <xf numFmtId="9" fontId="2" fillId="7" borderId="26" xfId="0" applyNumberFormat="1" applyFont="1" applyFill="1" applyBorder="1"/>
    <xf numFmtId="42" fontId="2" fillId="7" borderId="28" xfId="0" applyNumberFormat="1" applyFont="1" applyFill="1" applyBorder="1"/>
    <xf numFmtId="42" fontId="2" fillId="7" borderId="27" xfId="0" applyNumberFormat="1" applyFont="1" applyFill="1" applyBorder="1"/>
    <xf numFmtId="0" fontId="2" fillId="0" borderId="28" xfId="0" applyFont="1" applyBorder="1"/>
    <xf numFmtId="0" fontId="2" fillId="0" borderId="12" xfId="0" applyFont="1" applyBorder="1" applyAlignment="1">
      <alignment horizontal="center" vertical="center"/>
    </xf>
    <xf numFmtId="42" fontId="24" fillId="8" borderId="20" xfId="0" applyNumberFormat="1" applyFont="1" applyFill="1" applyBorder="1" applyAlignment="1">
      <alignment horizontal="center"/>
    </xf>
    <xf numFmtId="42" fontId="24" fillId="9" borderId="20" xfId="0" applyNumberFormat="1" applyFont="1" applyFill="1" applyBorder="1" applyAlignment="1">
      <alignment horizontal="center"/>
    </xf>
    <xf numFmtId="9" fontId="24" fillId="10" borderId="25" xfId="0" applyNumberFormat="1" applyFont="1" applyFill="1" applyBorder="1" applyAlignment="1">
      <alignment horizontal="center"/>
    </xf>
    <xf numFmtId="0" fontId="24" fillId="10" borderId="0" xfId="0" applyFont="1" applyFill="1" applyAlignment="1">
      <alignment horizontal="center"/>
    </xf>
    <xf numFmtId="0" fontId="24" fillId="10" borderId="21" xfId="0" applyFont="1" applyFill="1" applyBorder="1" applyAlignment="1">
      <alignment horizontal="center"/>
    </xf>
    <xf numFmtId="9" fontId="24" fillId="11" borderId="25" xfId="0" applyNumberFormat="1" applyFont="1" applyFill="1" applyBorder="1" applyAlignment="1">
      <alignment horizontal="center"/>
    </xf>
    <xf numFmtId="0" fontId="24" fillId="11" borderId="0" xfId="0" applyFont="1" applyFill="1" applyAlignment="1">
      <alignment horizontal="center"/>
    </xf>
    <xf numFmtId="0" fontId="24" fillId="11" borderId="21" xfId="0" applyFont="1" applyFill="1" applyBorder="1" applyAlignment="1">
      <alignment horizontal="center"/>
    </xf>
    <xf numFmtId="9" fontId="24" fillId="12" borderId="25" xfId="0" applyNumberFormat="1" applyFont="1" applyFill="1" applyBorder="1" applyAlignment="1">
      <alignment horizontal="center"/>
    </xf>
    <xf numFmtId="0" fontId="24" fillId="12" borderId="0" xfId="0" applyFont="1" applyFill="1" applyAlignment="1">
      <alignment horizontal="center"/>
    </xf>
    <xf numFmtId="0" fontId="24" fillId="12" borderId="21" xfId="0" applyFont="1" applyFill="1" applyBorder="1" applyAlignment="1">
      <alignment horizontal="center"/>
    </xf>
    <xf numFmtId="9" fontId="24" fillId="13" borderId="25" xfId="0" applyNumberFormat="1" applyFont="1" applyFill="1" applyBorder="1" applyAlignment="1">
      <alignment horizontal="center"/>
    </xf>
    <xf numFmtId="0" fontId="24" fillId="13" borderId="0" xfId="0" applyFont="1" applyFill="1" applyAlignment="1">
      <alignment horizontal="center"/>
    </xf>
    <xf numFmtId="0" fontId="24" fillId="13" borderId="21" xfId="0" applyFont="1" applyFill="1" applyBorder="1" applyAlignment="1">
      <alignment horizontal="center"/>
    </xf>
    <xf numFmtId="0" fontId="5" fillId="0" borderId="29" xfId="0" applyFont="1" applyBorder="1"/>
    <xf numFmtId="0" fontId="5" fillId="0" borderId="19" xfId="0" applyFont="1" applyBorder="1"/>
    <xf numFmtId="0" fontId="5" fillId="0" borderId="18" xfId="0" applyFont="1" applyBorder="1"/>
    <xf numFmtId="42" fontId="7" fillId="14" borderId="12" xfId="0" applyNumberFormat="1" applyFont="1" applyFill="1" applyBorder="1" applyAlignment="1">
      <alignment horizontal="center"/>
    </xf>
    <xf numFmtId="42" fontId="7" fillId="15" borderId="12" xfId="0" applyNumberFormat="1" applyFont="1" applyFill="1" applyBorder="1" applyAlignment="1">
      <alignment horizontal="center"/>
    </xf>
    <xf numFmtId="9" fontId="8" fillId="16" borderId="26" xfId="0" applyNumberFormat="1" applyFont="1" applyFill="1" applyBorder="1" applyAlignment="1">
      <alignment horizontal="centerContinuous"/>
    </xf>
    <xf numFmtId="0" fontId="8" fillId="16" borderId="28" xfId="0" applyFont="1" applyFill="1" applyBorder="1" applyAlignment="1">
      <alignment horizontal="centerContinuous"/>
    </xf>
    <xf numFmtId="0" fontId="8" fillId="16" borderId="27" xfId="0" applyFont="1" applyFill="1" applyBorder="1" applyAlignment="1">
      <alignment horizontal="centerContinuous"/>
    </xf>
    <xf numFmtId="9" fontId="8" fillId="17" borderId="26" xfId="0" applyNumberFormat="1" applyFont="1" applyFill="1" applyBorder="1" applyAlignment="1">
      <alignment horizontal="centerContinuous"/>
    </xf>
    <xf numFmtId="0" fontId="8" fillId="17" borderId="28" xfId="0" applyFont="1" applyFill="1" applyBorder="1" applyAlignment="1">
      <alignment horizontal="centerContinuous"/>
    </xf>
    <xf numFmtId="0" fontId="8" fillId="17" borderId="27" xfId="0" applyFont="1" applyFill="1" applyBorder="1" applyAlignment="1">
      <alignment horizontal="centerContinuous"/>
    </xf>
    <xf numFmtId="9" fontId="8" fillId="18" borderId="26" xfId="0" applyNumberFormat="1" applyFont="1" applyFill="1" applyBorder="1" applyAlignment="1">
      <alignment horizontal="centerContinuous"/>
    </xf>
    <xf numFmtId="0" fontId="8" fillId="18" borderId="28" xfId="0" applyFont="1" applyFill="1" applyBorder="1" applyAlignment="1">
      <alignment horizontal="centerContinuous"/>
    </xf>
    <xf numFmtId="0" fontId="8" fillId="18" borderId="27" xfId="0" applyFont="1" applyFill="1" applyBorder="1" applyAlignment="1">
      <alignment horizontal="centerContinuous"/>
    </xf>
    <xf numFmtId="9" fontId="8" fillId="19" borderId="26" xfId="0" applyNumberFormat="1" applyFont="1" applyFill="1" applyBorder="1" applyAlignment="1">
      <alignment horizontal="centerContinuous"/>
    </xf>
    <xf numFmtId="0" fontId="8" fillId="19" borderId="28" xfId="0" applyFont="1" applyFill="1" applyBorder="1" applyAlignment="1">
      <alignment horizontal="centerContinuous"/>
    </xf>
    <xf numFmtId="0" fontId="8" fillId="19" borderId="27" xfId="0" applyFont="1" applyFill="1" applyBorder="1" applyAlignment="1">
      <alignment horizontal="centerContinuous"/>
    </xf>
    <xf numFmtId="0" fontId="0" fillId="0" borderId="26" xfId="0" applyBorder="1"/>
    <xf numFmtId="0" fontId="2" fillId="0" borderId="12" xfId="0" applyFont="1" applyBorder="1"/>
    <xf numFmtId="0" fontId="11" fillId="0" borderId="11" xfId="0" applyFont="1" applyBorder="1" applyAlignment="1">
      <alignment wrapText="1"/>
    </xf>
    <xf numFmtId="0" fontId="11" fillId="0" borderId="11" xfId="0" applyFont="1" applyBorder="1"/>
    <xf numFmtId="0" fontId="11" fillId="0" borderId="30" xfId="0" applyFont="1" applyBorder="1" applyAlignment="1">
      <alignment wrapText="1"/>
    </xf>
    <xf numFmtId="0" fontId="2" fillId="0" borderId="31" xfId="0" applyFont="1" applyBorder="1" applyAlignment="1">
      <alignment vertical="center" wrapText="1"/>
    </xf>
    <xf numFmtId="0" fontId="11" fillId="0" borderId="32" xfId="0" applyFont="1" applyBorder="1" applyAlignment="1">
      <alignment wrapText="1"/>
    </xf>
    <xf numFmtId="0" fontId="11" fillId="0" borderId="33" xfId="0" applyFont="1" applyBorder="1" applyAlignment="1">
      <alignment wrapText="1"/>
    </xf>
    <xf numFmtId="0" fontId="25" fillId="0" borderId="11" xfId="0" applyFont="1" applyBorder="1" applyAlignment="1">
      <alignment wrapText="1"/>
    </xf>
    <xf numFmtId="9" fontId="11" fillId="0" borderId="32" xfId="0" applyNumberFormat="1" applyFont="1" applyBorder="1" applyAlignment="1">
      <alignment wrapText="1"/>
    </xf>
    <xf numFmtId="0" fontId="23" fillId="0" borderId="11" xfId="0" applyFont="1" applyBorder="1" applyAlignment="1">
      <alignment horizontal="center"/>
    </xf>
    <xf numFmtId="0" fontId="23" fillId="0" borderId="11" xfId="0" applyFont="1" applyBorder="1" applyAlignment="1">
      <alignment horizontal="center" wrapText="1"/>
    </xf>
    <xf numFmtId="0" fontId="11" fillId="0" borderId="0" xfId="0" applyFont="1" applyAlignment="1">
      <alignment vertical="center"/>
    </xf>
    <xf numFmtId="0" fontId="11" fillId="0" borderId="34" xfId="0" applyFont="1" applyBorder="1" applyAlignment="1">
      <alignment horizontal="center" vertical="center"/>
    </xf>
    <xf numFmtId="0" fontId="14" fillId="0" borderId="10" xfId="0" applyFont="1" applyBorder="1" applyAlignment="1">
      <alignment horizontal="center" vertical="center"/>
    </xf>
    <xf numFmtId="0" fontId="18" fillId="0" borderId="34" xfId="0" applyFont="1" applyBorder="1" applyAlignment="1">
      <alignment horizontal="center" vertical="center"/>
    </xf>
    <xf numFmtId="42" fontId="0" fillId="5" borderId="2" xfId="0" applyNumberFormat="1" applyFill="1" applyBorder="1"/>
    <xf numFmtId="9" fontId="0" fillId="7" borderId="2" xfId="0" applyNumberFormat="1" applyFill="1" applyBorder="1"/>
    <xf numFmtId="42" fontId="0" fillId="7" borderId="2" xfId="0" applyNumberFormat="1" applyFill="1" applyBorder="1"/>
    <xf numFmtId="0" fontId="0" fillId="6" borderId="2" xfId="0" applyFill="1" applyBorder="1"/>
    <xf numFmtId="42" fontId="0" fillId="6" borderId="2" xfId="0" applyNumberFormat="1" applyFill="1" applyBorder="1"/>
    <xf numFmtId="42" fontId="0" fillId="3" borderId="2" xfId="0" applyNumberFormat="1" applyFill="1" applyBorder="1"/>
    <xf numFmtId="0" fontId="0" fillId="0" borderId="32" xfId="0" applyBorder="1"/>
    <xf numFmtId="0" fontId="0" fillId="0" borderId="11" xfId="0" applyBorder="1"/>
    <xf numFmtId="0" fontId="0" fillId="0" borderId="35" xfId="0" applyBorder="1"/>
    <xf numFmtId="0" fontId="0" fillId="2" borderId="2" xfId="0" applyFill="1" applyBorder="1"/>
    <xf numFmtId="42" fontId="26" fillId="5" borderId="3" xfId="0" applyNumberFormat="1" applyFont="1" applyFill="1" applyBorder="1" applyAlignment="1">
      <alignment horizontal="center" vertical="center" wrapText="1"/>
    </xf>
    <xf numFmtId="9" fontId="0" fillId="7" borderId="3" xfId="0" applyNumberFormat="1" applyFill="1" applyBorder="1"/>
    <xf numFmtId="42" fontId="0" fillId="7" borderId="3" xfId="0" applyNumberFormat="1" applyFill="1" applyBorder="1"/>
    <xf numFmtId="0" fontId="0" fillId="6" borderId="3" xfId="0" applyFill="1" applyBorder="1"/>
    <xf numFmtId="42" fontId="0" fillId="6" borderId="3" xfId="0" applyNumberFormat="1" applyFill="1" applyBorder="1"/>
    <xf numFmtId="42" fontId="0" fillId="3" borderId="3" xfId="0" applyNumberFormat="1" applyFill="1" applyBorder="1"/>
    <xf numFmtId="0" fontId="0" fillId="2" borderId="3" xfId="0" applyFill="1" applyBorder="1"/>
    <xf numFmtId="42" fontId="0" fillId="5" borderId="4" xfId="0" applyNumberFormat="1" applyFill="1" applyBorder="1"/>
    <xf numFmtId="9" fontId="0" fillId="7" borderId="4" xfId="0" applyNumberFormat="1" applyFill="1" applyBorder="1"/>
    <xf numFmtId="42" fontId="0" fillId="7" borderId="4" xfId="0" applyNumberFormat="1" applyFill="1" applyBorder="1"/>
    <xf numFmtId="0" fontId="0" fillId="6" borderId="4" xfId="0" applyFill="1" applyBorder="1"/>
    <xf numFmtId="42" fontId="0" fillId="6" borderId="4" xfId="0" applyNumberFormat="1" applyFill="1" applyBorder="1"/>
    <xf numFmtId="42" fontId="0" fillId="3" borderId="4" xfId="0" applyNumberFormat="1" applyFill="1" applyBorder="1"/>
    <xf numFmtId="0" fontId="0" fillId="0" borderId="36" xfId="0" applyBorder="1"/>
    <xf numFmtId="0" fontId="0" fillId="0" borderId="30" xfId="0" applyBorder="1"/>
    <xf numFmtId="0" fontId="0" fillId="0" borderId="37" xfId="0" applyBorder="1"/>
    <xf numFmtId="0" fontId="0" fillId="2" borderId="4" xfId="0" applyFill="1" applyBorder="1"/>
    <xf numFmtId="0" fontId="27" fillId="17" borderId="5" xfId="0" applyFont="1" applyFill="1" applyBorder="1" applyAlignment="1">
      <alignment wrapText="1"/>
    </xf>
    <xf numFmtId="0" fontId="27" fillId="19" borderId="5" xfId="0" applyFont="1" applyFill="1" applyBorder="1" applyAlignment="1">
      <alignment wrapText="1"/>
    </xf>
    <xf numFmtId="0" fontId="27" fillId="18" borderId="5" xfId="0" applyFont="1" applyFill="1" applyBorder="1" applyAlignment="1">
      <alignment wrapText="1"/>
    </xf>
    <xf numFmtId="0" fontId="27" fillId="15" borderId="5" xfId="0" applyFont="1" applyFill="1" applyBorder="1" applyAlignment="1">
      <alignment wrapText="1"/>
    </xf>
    <xf numFmtId="0" fontId="27" fillId="0" borderId="38" xfId="0" applyFont="1" applyBorder="1"/>
    <xf numFmtId="0" fontId="27" fillId="14" borderId="5" xfId="0" applyFont="1" applyFill="1" applyBorder="1"/>
    <xf numFmtId="0" fontId="15" fillId="21" borderId="3" xfId="0" applyFont="1" applyFill="1" applyBorder="1" applyAlignment="1">
      <alignment horizontal="left" wrapText="1"/>
    </xf>
    <xf numFmtId="0" fontId="15" fillId="21" borderId="7" xfId="0" applyFont="1" applyFill="1" applyBorder="1" applyAlignment="1">
      <alignment horizontal="left" wrapText="1"/>
    </xf>
    <xf numFmtId="0" fontId="15" fillId="21" borderId="2" xfId="0" applyFont="1" applyFill="1" applyBorder="1" applyAlignment="1">
      <alignment horizontal="center" vertical="center" wrapText="1"/>
    </xf>
    <xf numFmtId="0" fontId="15" fillId="21" borderId="2" xfId="0" applyFont="1" applyFill="1" applyBorder="1" applyAlignment="1">
      <alignment vertical="top"/>
    </xf>
    <xf numFmtId="0" fontId="15" fillId="21" borderId="8" xfId="0" applyFont="1" applyFill="1" applyBorder="1" applyAlignment="1">
      <alignment horizontal="left" wrapText="1"/>
    </xf>
    <xf numFmtId="0" fontId="15" fillId="21" borderId="3" xfId="0" applyFont="1" applyFill="1" applyBorder="1" applyAlignment="1">
      <alignment horizontal="center" vertical="center" wrapText="1"/>
    </xf>
    <xf numFmtId="0" fontId="15" fillId="21" borderId="3" xfId="0" applyFont="1" applyFill="1" applyBorder="1" applyAlignment="1">
      <alignment vertical="top"/>
    </xf>
    <xf numFmtId="0" fontId="16" fillId="21" borderId="5" xfId="0" applyFont="1" applyFill="1" applyBorder="1" applyAlignment="1">
      <alignment horizontal="center" vertical="center"/>
    </xf>
    <xf numFmtId="0" fontId="16" fillId="21" borderId="5" xfId="0" applyFont="1" applyFill="1" applyBorder="1" applyAlignment="1">
      <alignment horizontal="center" vertical="center" wrapText="1"/>
    </xf>
    <xf numFmtId="0" fontId="28" fillId="0" borderId="6" xfId="0" applyFont="1" applyBorder="1" applyAlignment="1">
      <alignment horizontal="center" vertical="center"/>
    </xf>
    <xf numFmtId="42" fontId="9" fillId="2" borderId="2" xfId="0" applyNumberFormat="1" applyFont="1" applyFill="1" applyBorder="1"/>
    <xf numFmtId="42" fontId="9" fillId="3" borderId="2" xfId="0" applyNumberFormat="1" applyFont="1" applyFill="1" applyBorder="1"/>
    <xf numFmtId="9" fontId="0" fillId="2" borderId="39" xfId="0" applyNumberFormat="1" applyFill="1" applyBorder="1"/>
    <xf numFmtId="42" fontId="0" fillId="2" borderId="40" xfId="0" applyNumberFormat="1" applyFill="1" applyBorder="1"/>
    <xf numFmtId="42" fontId="0" fillId="2" borderId="41" xfId="0" applyNumberFormat="1" applyFill="1" applyBorder="1"/>
    <xf numFmtId="0" fontId="0" fillId="5" borderId="39" xfId="0" applyFill="1" applyBorder="1"/>
    <xf numFmtId="42" fontId="0" fillId="5" borderId="40" xfId="0" applyNumberFormat="1" applyFill="1" applyBorder="1"/>
    <xf numFmtId="42" fontId="0" fillId="5" borderId="41" xfId="0" applyNumberFormat="1" applyFill="1" applyBorder="1"/>
    <xf numFmtId="0" fontId="0" fillId="6" borderId="39" xfId="0" applyFill="1" applyBorder="1"/>
    <xf numFmtId="42" fontId="0" fillId="6" borderId="40" xfId="0" applyNumberFormat="1" applyFill="1" applyBorder="1"/>
    <xf numFmtId="42" fontId="0" fillId="6" borderId="41" xfId="0" applyNumberFormat="1" applyFill="1" applyBorder="1"/>
    <xf numFmtId="0" fontId="0" fillId="7" borderId="39" xfId="0" applyFill="1" applyBorder="1"/>
    <xf numFmtId="42" fontId="0" fillId="7" borderId="40" xfId="0" applyNumberFormat="1" applyFill="1" applyBorder="1"/>
    <xf numFmtId="42" fontId="0" fillId="7" borderId="41" xfId="0" applyNumberFormat="1" applyFill="1" applyBorder="1"/>
    <xf numFmtId="0" fontId="1" fillId="0" borderId="24" xfId="0" applyFont="1" applyBorder="1" applyAlignment="1">
      <alignment horizontal="right"/>
    </xf>
    <xf numFmtId="0" fontId="1" fillId="0" borderId="0" xfId="0" applyFont="1" applyAlignment="1">
      <alignment horizontal="center" vertical="center"/>
    </xf>
    <xf numFmtId="0" fontId="1" fillId="0" borderId="0" xfId="0" applyFont="1" applyAlignment="1">
      <alignment horizontal="center" vertical="center" textRotation="90"/>
    </xf>
    <xf numFmtId="42" fontId="9" fillId="2" borderId="22" xfId="2" applyNumberFormat="1" applyFont="1" applyFill="1" applyBorder="1" applyAlignment="1">
      <alignment vertical="center"/>
    </xf>
    <xf numFmtId="42" fontId="9" fillId="3" borderId="22" xfId="2" applyNumberFormat="1" applyFont="1" applyFill="1" applyBorder="1" applyAlignment="1">
      <alignment vertical="center"/>
    </xf>
    <xf numFmtId="9" fontId="0" fillId="2" borderId="42" xfId="0" applyNumberFormat="1" applyFill="1" applyBorder="1"/>
    <xf numFmtId="42" fontId="0" fillId="2" borderId="33" xfId="0" applyNumberFormat="1" applyFill="1" applyBorder="1"/>
    <xf numFmtId="42" fontId="0" fillId="2" borderId="43" xfId="0" applyNumberFormat="1" applyFill="1" applyBorder="1"/>
    <xf numFmtId="0" fontId="0" fillId="5" borderId="42" xfId="0" applyFill="1" applyBorder="1"/>
    <xf numFmtId="42" fontId="0" fillId="5" borderId="33" xfId="0" applyNumberFormat="1" applyFill="1" applyBorder="1"/>
    <xf numFmtId="42" fontId="0" fillId="5" borderId="43" xfId="0" applyNumberFormat="1" applyFill="1" applyBorder="1"/>
    <xf numFmtId="0" fontId="0" fillId="6" borderId="42" xfId="0" applyFill="1" applyBorder="1"/>
    <xf numFmtId="42" fontId="0" fillId="6" borderId="33" xfId="0" applyNumberFormat="1" applyFill="1" applyBorder="1"/>
    <xf numFmtId="42" fontId="0" fillId="6" borderId="43" xfId="0" applyNumberFormat="1" applyFill="1" applyBorder="1"/>
    <xf numFmtId="0" fontId="0" fillId="7" borderId="42" xfId="0" applyFill="1" applyBorder="1"/>
    <xf numFmtId="42" fontId="0" fillId="7" borderId="33" xfId="0" applyNumberFormat="1" applyFill="1" applyBorder="1"/>
    <xf numFmtId="42" fontId="0" fillId="7" borderId="43" xfId="0" applyNumberFormat="1" applyFill="1" applyBorder="1"/>
    <xf numFmtId="42" fontId="9" fillId="2" borderId="3" xfId="2" applyNumberFormat="1" applyFont="1" applyFill="1" applyBorder="1" applyAlignment="1">
      <alignment vertical="center"/>
    </xf>
    <xf numFmtId="42" fontId="9" fillId="3" borderId="3" xfId="2" applyNumberFormat="1" applyFont="1" applyFill="1" applyBorder="1" applyAlignment="1">
      <alignment vertical="center"/>
    </xf>
    <xf numFmtId="9" fontId="0" fillId="2" borderId="44" xfId="0" applyNumberFormat="1" applyFill="1" applyBorder="1"/>
    <xf numFmtId="42" fontId="0" fillId="2" borderId="11" xfId="0" applyNumberFormat="1" applyFill="1" applyBorder="1"/>
    <xf numFmtId="42" fontId="0" fillId="2" borderId="45" xfId="0" applyNumberFormat="1" applyFill="1" applyBorder="1"/>
    <xf numFmtId="0" fontId="0" fillId="5" borderId="44" xfId="0" applyFill="1" applyBorder="1"/>
    <xf numFmtId="42" fontId="0" fillId="5" borderId="11" xfId="0" applyNumberFormat="1" applyFill="1" applyBorder="1"/>
    <xf numFmtId="42" fontId="0" fillId="5" borderId="45" xfId="0" applyNumberFormat="1" applyFill="1" applyBorder="1"/>
    <xf numFmtId="0" fontId="0" fillId="6" borderId="44" xfId="0" applyFill="1" applyBorder="1"/>
    <xf numFmtId="42" fontId="0" fillId="6" borderId="11" xfId="0" applyNumberFormat="1" applyFill="1" applyBorder="1"/>
    <xf numFmtId="42" fontId="0" fillId="6" borderId="45" xfId="0" applyNumberFormat="1" applyFill="1" applyBorder="1"/>
    <xf numFmtId="0" fontId="0" fillId="7" borderId="44" xfId="0" applyFill="1" applyBorder="1"/>
    <xf numFmtId="42" fontId="0" fillId="7" borderId="11" xfId="0" applyNumberFormat="1" applyFill="1" applyBorder="1"/>
    <xf numFmtId="42" fontId="0" fillId="7" borderId="45" xfId="0" applyNumberFormat="1" applyFill="1" applyBorder="1"/>
    <xf numFmtId="42" fontId="0" fillId="2" borderId="2" xfId="0" applyNumberFormat="1" applyFill="1" applyBorder="1"/>
    <xf numFmtId="42" fontId="0" fillId="2" borderId="22" xfId="0" applyNumberFormat="1" applyFill="1" applyBorder="1"/>
    <xf numFmtId="42" fontId="0" fillId="3" borderId="22" xfId="0" applyNumberFormat="1" applyFill="1" applyBorder="1"/>
    <xf numFmtId="42" fontId="0" fillId="2" borderId="4" xfId="0" applyNumberFormat="1" applyFill="1" applyBorder="1"/>
    <xf numFmtId="9" fontId="0" fillId="2" borderId="46" xfId="0" applyNumberFormat="1" applyFill="1" applyBorder="1"/>
    <xf numFmtId="42" fontId="0" fillId="2" borderId="30" xfId="0" applyNumberFormat="1" applyFill="1" applyBorder="1"/>
    <xf numFmtId="42" fontId="0" fillId="2" borderId="47" xfId="0" applyNumberFormat="1" applyFill="1" applyBorder="1"/>
    <xf numFmtId="0" fontId="0" fillId="5" borderId="46" xfId="0" applyFill="1" applyBorder="1"/>
    <xf numFmtId="42" fontId="0" fillId="5" borderId="30" xfId="0" applyNumberFormat="1" applyFill="1" applyBorder="1"/>
    <xf numFmtId="42" fontId="0" fillId="5" borderId="47" xfId="0" applyNumberFormat="1" applyFill="1" applyBorder="1"/>
    <xf numFmtId="0" fontId="0" fillId="6" borderId="46" xfId="0" applyFill="1" applyBorder="1"/>
    <xf numFmtId="42" fontId="0" fillId="6" borderId="30" xfId="0" applyNumberFormat="1" applyFill="1" applyBorder="1"/>
    <xf numFmtId="42" fontId="0" fillId="6" borderId="47" xfId="0" applyNumberFormat="1" applyFill="1" applyBorder="1"/>
    <xf numFmtId="0" fontId="0" fillId="7" borderId="46" xfId="0" applyFill="1" applyBorder="1"/>
    <xf numFmtId="42" fontId="0" fillId="7" borderId="30" xfId="0" applyNumberFormat="1" applyFill="1" applyBorder="1"/>
    <xf numFmtId="42" fontId="0" fillId="7" borderId="47" xfId="0" applyNumberFormat="1" applyFill="1" applyBorder="1"/>
    <xf numFmtId="42" fontId="10" fillId="8" borderId="18" xfId="0" applyNumberFormat="1" applyFont="1" applyFill="1" applyBorder="1" applyAlignment="1">
      <alignment horizontal="center"/>
    </xf>
    <xf numFmtId="42" fontId="10" fillId="9" borderId="18" xfId="0" applyNumberFormat="1" applyFont="1" applyFill="1" applyBorder="1" applyAlignment="1">
      <alignment horizontal="center"/>
    </xf>
    <xf numFmtId="9" fontId="10" fillId="10" borderId="29" xfId="0" applyNumberFormat="1" applyFont="1" applyFill="1" applyBorder="1" applyAlignment="1">
      <alignment horizontal="center"/>
    </xf>
    <xf numFmtId="0" fontId="10" fillId="10" borderId="6" xfId="0" applyFont="1" applyFill="1" applyBorder="1" applyAlignment="1">
      <alignment horizontal="center"/>
    </xf>
    <xf numFmtId="0" fontId="10" fillId="10" borderId="19" xfId="0" applyFont="1" applyFill="1" applyBorder="1" applyAlignment="1">
      <alignment horizontal="center"/>
    </xf>
    <xf numFmtId="9" fontId="10" fillId="11" borderId="29" xfId="0" applyNumberFormat="1" applyFont="1" applyFill="1" applyBorder="1" applyAlignment="1">
      <alignment horizontal="center"/>
    </xf>
    <xf numFmtId="0" fontId="10" fillId="11" borderId="6" xfId="0" applyFont="1" applyFill="1" applyBorder="1" applyAlignment="1">
      <alignment horizontal="center"/>
    </xf>
    <xf numFmtId="0" fontId="10" fillId="11" borderId="19" xfId="0" applyFont="1" applyFill="1" applyBorder="1" applyAlignment="1">
      <alignment horizontal="center"/>
    </xf>
    <xf numFmtId="9" fontId="10" fillId="12" borderId="29" xfId="0" applyNumberFormat="1" applyFont="1" applyFill="1" applyBorder="1" applyAlignment="1">
      <alignment horizontal="center"/>
    </xf>
    <xf numFmtId="0" fontId="10" fillId="12" borderId="6" xfId="0" applyFont="1" applyFill="1" applyBorder="1" applyAlignment="1">
      <alignment horizontal="center"/>
    </xf>
    <xf numFmtId="0" fontId="10" fillId="12" borderId="19" xfId="0" applyFont="1" applyFill="1" applyBorder="1" applyAlignment="1">
      <alignment horizontal="center"/>
    </xf>
    <xf numFmtId="9" fontId="10" fillId="13" borderId="29" xfId="0" applyNumberFormat="1" applyFont="1" applyFill="1" applyBorder="1" applyAlignment="1">
      <alignment horizontal="center"/>
    </xf>
    <xf numFmtId="0" fontId="10" fillId="13" borderId="6" xfId="0" applyFont="1" applyFill="1" applyBorder="1" applyAlignment="1">
      <alignment horizontal="center"/>
    </xf>
    <xf numFmtId="0" fontId="10" fillId="13" borderId="19" xfId="0" applyFont="1" applyFill="1" applyBorder="1" applyAlignment="1">
      <alignment horizontal="center"/>
    </xf>
    <xf numFmtId="0" fontId="1" fillId="0" borderId="0" xfId="0" applyFont="1" applyAlignment="1">
      <alignment horizontal="center"/>
    </xf>
    <xf numFmtId="9" fontId="7" fillId="16" borderId="26" xfId="0" applyNumberFormat="1" applyFont="1" applyFill="1" applyBorder="1" applyAlignment="1">
      <alignment horizontal="centerContinuous"/>
    </xf>
    <xf numFmtId="0" fontId="7" fillId="16" borderId="28" xfId="0" applyFont="1" applyFill="1" applyBorder="1" applyAlignment="1">
      <alignment horizontal="centerContinuous"/>
    </xf>
    <xf numFmtId="0" fontId="7" fillId="16" borderId="27" xfId="0" applyFont="1" applyFill="1" applyBorder="1" applyAlignment="1">
      <alignment horizontal="centerContinuous"/>
    </xf>
    <xf numFmtId="9" fontId="7" fillId="17" borderId="26" xfId="0" applyNumberFormat="1" applyFont="1" applyFill="1" applyBorder="1" applyAlignment="1">
      <alignment horizontal="centerContinuous"/>
    </xf>
    <xf numFmtId="0" fontId="7" fillId="17" borderId="28" xfId="0" applyFont="1" applyFill="1" applyBorder="1" applyAlignment="1">
      <alignment horizontal="centerContinuous"/>
    </xf>
    <xf numFmtId="0" fontId="7" fillId="17" borderId="27" xfId="0" applyFont="1" applyFill="1" applyBorder="1" applyAlignment="1">
      <alignment horizontal="centerContinuous"/>
    </xf>
    <xf numFmtId="9" fontId="7" fillId="18" borderId="26" xfId="0" applyNumberFormat="1" applyFont="1" applyFill="1" applyBorder="1" applyAlignment="1">
      <alignment horizontal="centerContinuous"/>
    </xf>
    <xf numFmtId="0" fontId="7" fillId="18" borderId="28" xfId="0" applyFont="1" applyFill="1" applyBorder="1" applyAlignment="1">
      <alignment horizontal="centerContinuous"/>
    </xf>
    <xf numFmtId="0" fontId="7" fillId="18" borderId="27" xfId="0" applyFont="1" applyFill="1" applyBorder="1" applyAlignment="1">
      <alignment horizontal="centerContinuous"/>
    </xf>
    <xf numFmtId="9" fontId="7" fillId="19" borderId="26" xfId="0" applyNumberFormat="1" applyFont="1" applyFill="1" applyBorder="1" applyAlignment="1">
      <alignment horizontal="centerContinuous"/>
    </xf>
    <xf numFmtId="0" fontId="7" fillId="19" borderId="28" xfId="0" applyFont="1" applyFill="1" applyBorder="1" applyAlignment="1">
      <alignment horizontal="centerContinuous"/>
    </xf>
    <xf numFmtId="0" fontId="7" fillId="19" borderId="27" xfId="0" applyFont="1" applyFill="1" applyBorder="1" applyAlignment="1">
      <alignment horizontal="centerContinuous"/>
    </xf>
    <xf numFmtId="0" fontId="15" fillId="21" borderId="2" xfId="0" applyFont="1" applyFill="1" applyBorder="1" applyAlignment="1">
      <alignment horizontal="left" wrapText="1"/>
    </xf>
    <xf numFmtId="0" fontId="0" fillId="0" borderId="6" xfId="0" applyBorder="1" applyAlignment="1">
      <alignment wrapText="1"/>
    </xf>
    <xf numFmtId="0" fontId="0" fillId="0" borderId="9" xfId="0"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Custom 1">
      <a:dk1>
        <a:srgbClr val="2A2A2A"/>
      </a:dk1>
      <a:lt1>
        <a:sysClr val="window" lastClr="FFFFFF"/>
      </a:lt1>
      <a:dk2>
        <a:srgbClr val="555555"/>
      </a:dk2>
      <a:lt2>
        <a:srgbClr val="D8D8D8"/>
      </a:lt2>
      <a:accent1>
        <a:srgbClr val="2B4978"/>
      </a:accent1>
      <a:accent2>
        <a:srgbClr val="2E7C93"/>
      </a:accent2>
      <a:accent3>
        <a:srgbClr val="6D8C3B"/>
      </a:accent3>
      <a:accent4>
        <a:srgbClr val="F2A71F"/>
      </a:accent4>
      <a:accent5>
        <a:srgbClr val="F16B24"/>
      </a:accent5>
      <a:accent6>
        <a:srgbClr val="833172"/>
      </a:accent6>
      <a:hlink>
        <a:srgbClr val="2E7C93"/>
      </a:hlink>
      <a:folHlink>
        <a:srgbClr val="8331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AE7A-A006-4143-9719-420EA7866AB2}">
  <dimension ref="A1:V5"/>
  <sheetViews>
    <sheetView workbookViewId="0">
      <selection activeCell="L21" sqref="L21"/>
    </sheetView>
  </sheetViews>
  <sheetFormatPr defaultRowHeight="16.5" x14ac:dyDescent="0.3"/>
  <cols>
    <col min="1" max="1" width="8.7109375" style="102" customWidth="1"/>
    <col min="2" max="2" width="30.42578125" style="102" customWidth="1"/>
    <col min="3" max="3" width="31.42578125" style="102" customWidth="1"/>
    <col min="4" max="4" width="15.140625" style="102" customWidth="1"/>
    <col min="5" max="22" width="15" style="102" customWidth="1"/>
    <col min="23" max="16384" width="9.140625" style="102"/>
  </cols>
  <sheetData>
    <row r="1" spans="1:22" ht="25.5" x14ac:dyDescent="0.5">
      <c r="E1" s="146" t="s">
        <v>0</v>
      </c>
      <c r="F1" s="146"/>
      <c r="G1" s="146"/>
      <c r="H1" s="145"/>
      <c r="I1" s="144" t="s">
        <v>1</v>
      </c>
      <c r="J1" s="144"/>
      <c r="K1" s="144"/>
      <c r="L1" s="143"/>
      <c r="M1" s="142" t="s">
        <v>2</v>
      </c>
      <c r="N1" s="142"/>
      <c r="O1" s="142"/>
      <c r="P1" s="141"/>
      <c r="Q1" s="140" t="s">
        <v>68</v>
      </c>
      <c r="R1" s="140"/>
      <c r="S1" s="140"/>
      <c r="T1" s="139"/>
      <c r="U1" s="138" t="s">
        <v>4</v>
      </c>
      <c r="V1" s="137" t="s">
        <v>5</v>
      </c>
    </row>
    <row r="2" spans="1:22" x14ac:dyDescent="0.3">
      <c r="A2" s="136" t="s">
        <v>6</v>
      </c>
      <c r="B2" s="136" t="s">
        <v>7</v>
      </c>
      <c r="C2" s="136" t="s">
        <v>8</v>
      </c>
      <c r="D2" s="136" t="s">
        <v>9</v>
      </c>
      <c r="E2" s="135" t="s">
        <v>10</v>
      </c>
      <c r="F2" s="135" t="s">
        <v>11</v>
      </c>
      <c r="G2" s="135" t="s">
        <v>12</v>
      </c>
      <c r="H2" s="134" t="s">
        <v>13</v>
      </c>
      <c r="I2" s="133" t="s">
        <v>10</v>
      </c>
      <c r="J2" s="133" t="s">
        <v>11</v>
      </c>
      <c r="K2" s="133" t="s">
        <v>12</v>
      </c>
      <c r="L2" s="132" t="s">
        <v>13</v>
      </c>
      <c r="M2" s="131" t="s">
        <v>10</v>
      </c>
      <c r="N2" s="131" t="s">
        <v>11</v>
      </c>
      <c r="O2" s="131" t="s">
        <v>12</v>
      </c>
      <c r="P2" s="130" t="s">
        <v>13</v>
      </c>
      <c r="Q2" s="129" t="s">
        <v>10</v>
      </c>
      <c r="R2" s="129" t="s">
        <v>11</v>
      </c>
      <c r="S2" s="129" t="s">
        <v>12</v>
      </c>
      <c r="T2" s="128" t="s">
        <v>13</v>
      </c>
      <c r="U2" s="127" t="s">
        <v>10</v>
      </c>
      <c r="V2" s="126" t="s">
        <v>10</v>
      </c>
    </row>
    <row r="3" spans="1:22" x14ac:dyDescent="0.3">
      <c r="A3" s="115" t="s">
        <v>98</v>
      </c>
      <c r="B3" s="114" t="s">
        <v>17</v>
      </c>
      <c r="C3" s="102" t="s">
        <v>97</v>
      </c>
      <c r="D3" s="102" t="s">
        <v>96</v>
      </c>
      <c r="E3" s="125">
        <v>0</v>
      </c>
      <c r="F3" s="125">
        <v>0</v>
      </c>
      <c r="G3" s="125">
        <v>0</v>
      </c>
      <c r="H3" s="124">
        <v>0</v>
      </c>
      <c r="I3" s="123">
        <v>0</v>
      </c>
      <c r="J3" s="123">
        <v>0</v>
      </c>
      <c r="K3" s="123">
        <v>0</v>
      </c>
      <c r="L3" s="122">
        <v>0</v>
      </c>
      <c r="M3" s="121">
        <v>789034</v>
      </c>
      <c r="N3" s="121">
        <v>590865.57000000007</v>
      </c>
      <c r="O3" s="121">
        <v>-198168.42999999993</v>
      </c>
      <c r="P3" s="120">
        <v>-0.2511532202668072</v>
      </c>
      <c r="Q3" s="119">
        <v>808759.85</v>
      </c>
      <c r="R3" s="119">
        <v>493690.45</v>
      </c>
      <c r="S3" s="119">
        <v>-315069.39999999997</v>
      </c>
      <c r="T3" s="118">
        <v>-0.38957102037149838</v>
      </c>
      <c r="U3" s="117">
        <v>828978.84624999994</v>
      </c>
      <c r="V3" s="116">
        <v>849703.31740624981</v>
      </c>
    </row>
    <row r="4" spans="1:22" x14ac:dyDescent="0.3">
      <c r="A4" s="115"/>
      <c r="B4" s="114"/>
      <c r="C4" s="102" t="s">
        <v>95</v>
      </c>
      <c r="D4" s="102" t="s">
        <v>94</v>
      </c>
      <c r="E4" s="125">
        <v>20000</v>
      </c>
      <c r="F4" s="125">
        <v>15000</v>
      </c>
      <c r="G4" s="125">
        <v>-5000</v>
      </c>
      <c r="H4" s="124">
        <v>-0.25</v>
      </c>
      <c r="I4" s="123">
        <v>35000</v>
      </c>
      <c r="J4" s="123">
        <v>0</v>
      </c>
      <c r="K4" s="123">
        <v>-35000</v>
      </c>
      <c r="L4" s="122">
        <v>-1</v>
      </c>
      <c r="M4" s="121">
        <v>35875</v>
      </c>
      <c r="N4" s="121">
        <v>33757.5</v>
      </c>
      <c r="O4" s="121">
        <v>-2117.5</v>
      </c>
      <c r="P4" s="120">
        <v>-5.9024390243902436E-2</v>
      </c>
      <c r="Q4" s="119">
        <v>42230</v>
      </c>
      <c r="R4" s="119">
        <v>742.5</v>
      </c>
      <c r="S4" s="119">
        <v>-41487.5</v>
      </c>
      <c r="T4" s="118">
        <v>-0.98241771252663979</v>
      </c>
      <c r="U4" s="117">
        <v>43286</v>
      </c>
      <c r="V4" s="116">
        <v>44368.149999999994</v>
      </c>
    </row>
    <row r="5" spans="1:22" x14ac:dyDescent="0.3">
      <c r="A5" s="115"/>
      <c r="B5" s="114"/>
      <c r="C5" s="113" t="s">
        <v>34</v>
      </c>
      <c r="D5" s="113"/>
      <c r="E5" s="112">
        <f>SUM(E3:E4)</f>
        <v>20000</v>
      </c>
      <c r="F5" s="112">
        <f>SUM(F3:F4)</f>
        <v>15000</v>
      </c>
      <c r="G5" s="112">
        <f>SUM(G3:G4)</f>
        <v>-5000</v>
      </c>
      <c r="H5" s="111">
        <v>-0.25</v>
      </c>
      <c r="I5" s="110">
        <f>SUM(I3:I4)</f>
        <v>35000</v>
      </c>
      <c r="J5" s="110">
        <f>SUM(J3:J4)</f>
        <v>0</v>
      </c>
      <c r="K5" s="110">
        <f>SUM(K3:K4)</f>
        <v>-35000</v>
      </c>
      <c r="L5" s="109">
        <v>-1</v>
      </c>
      <c r="M5" s="108">
        <f>SUM(M3:M4)</f>
        <v>824909</v>
      </c>
      <c r="N5" s="108">
        <f>SUM(N3:N4)</f>
        <v>624623.07000000007</v>
      </c>
      <c r="O5" s="108">
        <f>SUM(O3:O4)</f>
        <v>-200285.92999999993</v>
      </c>
      <c r="P5" s="107">
        <v>-0.33269529348616617</v>
      </c>
      <c r="Q5" s="106">
        <f>SUM(Q3:Q4)</f>
        <v>850989.85</v>
      </c>
      <c r="R5" s="106">
        <f>SUM(R3:R4)</f>
        <v>494432.95</v>
      </c>
      <c r="S5" s="106">
        <f>SUM(S3:S4)</f>
        <v>-356556.89999999997</v>
      </c>
      <c r="T5" s="105">
        <v>-0.55735502467447995</v>
      </c>
      <c r="U5" s="104">
        <f>SUM(U3:U4)</f>
        <v>872264.84624999994</v>
      </c>
      <c r="V5" s="103">
        <f>SUM(V3:V4)</f>
        <v>894071.46740624984</v>
      </c>
    </row>
  </sheetData>
  <sheetProtection algorithmName="SHA-512" hashValue="HZzyVvTejLpR2p7raM0efnHSHuVjTm2K5CTvblK2s3hG3Inb8bn2pUwsqPPOZrD0krxiQLT+SI2AyQbNGQazEw==" saltValue="GXUyhnoKEiwn+4Qm2nKDSg==" spinCount="100000" sheet="1" objects="1" scenarios="1"/>
  <mergeCells count="2">
    <mergeCell ref="A3:A5"/>
    <mergeCell ref="B3: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2772-743D-4CE5-92E8-BACF99275639}">
  <dimension ref="A1:D10"/>
  <sheetViews>
    <sheetView workbookViewId="0">
      <selection activeCell="L21" sqref="L21"/>
    </sheetView>
  </sheetViews>
  <sheetFormatPr defaultRowHeight="15" x14ac:dyDescent="0.25"/>
  <cols>
    <col min="1" max="1" width="39.5703125" style="49" customWidth="1"/>
    <col min="2" max="2" width="13.7109375" style="49" customWidth="1"/>
    <col min="3" max="3" width="79.85546875" style="49" customWidth="1"/>
    <col min="4" max="4" width="86" style="49" customWidth="1"/>
    <col min="5" max="16384" width="9.140625" style="49"/>
  </cols>
  <sheetData>
    <row r="1" spans="1:4" ht="30.75" customHeight="1" x14ac:dyDescent="0.25">
      <c r="A1" s="199" t="s">
        <v>209</v>
      </c>
      <c r="B1" s="199"/>
      <c r="C1" s="199"/>
      <c r="D1" s="199"/>
    </row>
    <row r="2" spans="1:4" x14ac:dyDescent="0.25">
      <c r="A2" s="198" t="s">
        <v>8</v>
      </c>
      <c r="B2" s="198" t="s">
        <v>9</v>
      </c>
      <c r="C2" s="197" t="s">
        <v>104</v>
      </c>
      <c r="D2" s="49" t="s">
        <v>208</v>
      </c>
    </row>
    <row r="3" spans="1:4" ht="50.25" customHeight="1" x14ac:dyDescent="0.25">
      <c r="A3" s="49" t="s">
        <v>184</v>
      </c>
      <c r="B3" s="49" t="s">
        <v>183</v>
      </c>
      <c r="C3" s="196" t="s">
        <v>207</v>
      </c>
      <c r="D3" s="196" t="s">
        <v>206</v>
      </c>
    </row>
    <row r="4" spans="1:4" ht="39" customHeight="1" x14ac:dyDescent="0.25">
      <c r="A4" s="49" t="s">
        <v>182</v>
      </c>
      <c r="B4" s="49" t="s">
        <v>181</v>
      </c>
      <c r="C4" s="196" t="s">
        <v>205</v>
      </c>
      <c r="D4" s="196" t="s">
        <v>204</v>
      </c>
    </row>
    <row r="5" spans="1:4" ht="39" customHeight="1" x14ac:dyDescent="0.25">
      <c r="A5" s="49" t="s">
        <v>171</v>
      </c>
      <c r="B5" s="49" t="s">
        <v>170</v>
      </c>
      <c r="C5" s="196" t="s">
        <v>203</v>
      </c>
      <c r="D5" s="196" t="s">
        <v>202</v>
      </c>
    </row>
    <row r="6" spans="1:4" ht="69.75" customHeight="1" x14ac:dyDescent="0.25">
      <c r="A6" s="49" t="s">
        <v>167</v>
      </c>
      <c r="B6" s="49" t="s">
        <v>166</v>
      </c>
      <c r="C6" s="196" t="s">
        <v>201</v>
      </c>
      <c r="D6" s="196" t="s">
        <v>200</v>
      </c>
    </row>
    <row r="7" spans="1:4" ht="39" customHeight="1" x14ac:dyDescent="0.25">
      <c r="A7" s="49" t="s">
        <v>165</v>
      </c>
      <c r="B7" s="49" t="s">
        <v>164</v>
      </c>
      <c r="C7" s="196" t="s">
        <v>199</v>
      </c>
      <c r="D7" s="196" t="s">
        <v>198</v>
      </c>
    </row>
    <row r="8" spans="1:4" ht="108.75" customHeight="1" x14ac:dyDescent="0.25">
      <c r="A8" s="49" t="s">
        <v>163</v>
      </c>
      <c r="B8" s="49" t="s">
        <v>162</v>
      </c>
      <c r="C8" s="196" t="s">
        <v>197</v>
      </c>
      <c r="D8" s="196" t="s">
        <v>196</v>
      </c>
    </row>
    <row r="9" spans="1:4" ht="39" customHeight="1" x14ac:dyDescent="0.25">
      <c r="A9" s="49" t="s">
        <v>152</v>
      </c>
      <c r="B9" s="49" t="s">
        <v>151</v>
      </c>
      <c r="C9" s="196" t="s">
        <v>195</v>
      </c>
      <c r="D9" s="196" t="s">
        <v>194</v>
      </c>
    </row>
    <row r="10" spans="1:4" ht="85.5" customHeight="1" x14ac:dyDescent="0.25">
      <c r="A10" s="49" t="s">
        <v>148</v>
      </c>
      <c r="B10" s="49" t="s">
        <v>147</v>
      </c>
      <c r="C10" s="196" t="s">
        <v>193</v>
      </c>
      <c r="D10" s="196" t="s">
        <v>192</v>
      </c>
    </row>
  </sheetData>
  <sheetProtection algorithmName="SHA-512" hashValue="GixlZuF2yUAH05jgoDmDeZ9HGJX6RZQnanxFuMMrVx2EKdEgXgbQv8VD7bXj5RhrUWlND0KIrd76oiygcRELPQ==" saltValue="dWgy+/TffazT0iY+5U4DYQ==" spinCount="100000" sheet="1" objects="1" scenarios="1"/>
  <mergeCells count="1">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5837-1D05-4DC0-AB77-3A8072DABED7}">
  <dimension ref="A1:K22"/>
  <sheetViews>
    <sheetView topLeftCell="C1" workbookViewId="0">
      <selection activeCell="L21" sqref="L21"/>
    </sheetView>
  </sheetViews>
  <sheetFormatPr defaultRowHeight="15" x14ac:dyDescent="0.25"/>
  <cols>
    <col min="1" max="1" width="34.42578125" style="49" customWidth="1"/>
    <col min="2" max="2" width="11.42578125" style="49" customWidth="1"/>
    <col min="3" max="11" width="14.5703125" style="49" customWidth="1"/>
    <col min="12" max="16384" width="9.140625" style="49"/>
  </cols>
  <sheetData>
    <row r="1" spans="1:11" ht="28.5" customHeight="1" thickBot="1" x14ac:dyDescent="0.3">
      <c r="A1" s="165" t="s">
        <v>248</v>
      </c>
      <c r="B1" s="214"/>
      <c r="C1" s="214"/>
      <c r="D1" s="214"/>
      <c r="E1" s="214"/>
      <c r="F1" s="214"/>
      <c r="G1" s="214"/>
      <c r="H1" s="214"/>
      <c r="I1" s="214"/>
      <c r="J1" s="214"/>
      <c r="K1" s="214"/>
    </row>
    <row r="2" spans="1:11" ht="48" thickBot="1" x14ac:dyDescent="0.3">
      <c r="A2" s="82" t="s">
        <v>8</v>
      </c>
      <c r="B2" s="82" t="s">
        <v>9</v>
      </c>
      <c r="C2" s="213" t="s">
        <v>85</v>
      </c>
      <c r="D2" s="80" t="s">
        <v>84</v>
      </c>
      <c r="E2" s="80" t="s">
        <v>83</v>
      </c>
      <c r="F2" s="212" t="s">
        <v>82</v>
      </c>
      <c r="G2" s="78" t="s">
        <v>81</v>
      </c>
      <c r="H2" s="77" t="s">
        <v>80</v>
      </c>
      <c r="I2" s="77" t="s">
        <v>79</v>
      </c>
      <c r="J2" s="76" t="s">
        <v>78</v>
      </c>
      <c r="K2" s="76" t="s">
        <v>77</v>
      </c>
    </row>
    <row r="3" spans="1:11" x14ac:dyDescent="0.25">
      <c r="A3" s="211" t="s">
        <v>247</v>
      </c>
      <c r="B3" s="210" t="s">
        <v>246</v>
      </c>
      <c r="C3" s="209">
        <v>61967469</v>
      </c>
      <c r="D3" s="73">
        <v>11480447.68</v>
      </c>
      <c r="E3" s="73">
        <v>50487021.32</v>
      </c>
      <c r="F3" s="208">
        <v>8500000</v>
      </c>
      <c r="G3" s="71" t="s">
        <v>2</v>
      </c>
      <c r="H3" s="70">
        <f>D3-C3</f>
        <v>-50487021.32</v>
      </c>
      <c r="I3" s="69">
        <f>(D3-C3)/C3</f>
        <v>-0.81473428130492143</v>
      </c>
      <c r="J3" s="68">
        <v>0</v>
      </c>
      <c r="K3" s="68">
        <v>0</v>
      </c>
    </row>
    <row r="4" spans="1:11" x14ac:dyDescent="0.25">
      <c r="A4" s="207" t="s">
        <v>245</v>
      </c>
      <c r="B4" s="162" t="s">
        <v>244</v>
      </c>
      <c r="C4" s="203">
        <v>131672525.49000001</v>
      </c>
      <c r="D4" s="64">
        <v>6682307.96</v>
      </c>
      <c r="E4" s="64">
        <v>124990217.53000002</v>
      </c>
      <c r="F4" s="206">
        <f>45000000-500000</f>
        <v>44500000</v>
      </c>
      <c r="G4" s="62" t="s">
        <v>68</v>
      </c>
      <c r="H4" s="61">
        <f>D4-C4</f>
        <v>-124990217.53000002</v>
      </c>
      <c r="I4" s="60">
        <f>(D4-C4)/C4</f>
        <v>-0.94925055219277699</v>
      </c>
      <c r="J4" s="155">
        <v>784192</v>
      </c>
      <c r="K4" s="155">
        <v>0</v>
      </c>
    </row>
    <row r="5" spans="1:11" x14ac:dyDescent="0.25">
      <c r="A5" s="207" t="s">
        <v>243</v>
      </c>
      <c r="B5" s="162" t="s">
        <v>242</v>
      </c>
      <c r="C5" s="203">
        <v>33960040.490000002</v>
      </c>
      <c r="D5" s="64">
        <v>8103171.6300000008</v>
      </c>
      <c r="E5" s="64">
        <v>25856868.859999999</v>
      </c>
      <c r="F5" s="206">
        <v>15000000</v>
      </c>
      <c r="G5" s="62" t="s">
        <v>68</v>
      </c>
      <c r="H5" s="61">
        <f>D5-C5</f>
        <v>-25856868.859999999</v>
      </c>
      <c r="I5" s="60">
        <f>(D5-C5)/C5</f>
        <v>-0.76139099032034152</v>
      </c>
      <c r="J5" s="155">
        <f>50000000</f>
        <v>50000000</v>
      </c>
      <c r="K5" s="155">
        <v>55000000</v>
      </c>
    </row>
    <row r="6" spans="1:11" x14ac:dyDescent="0.25">
      <c r="A6" s="207" t="s">
        <v>241</v>
      </c>
      <c r="B6" s="162" t="s">
        <v>240</v>
      </c>
      <c r="C6" s="203">
        <v>5607995.5</v>
      </c>
      <c r="D6" s="64">
        <v>358366.13999999996</v>
      </c>
      <c r="E6" s="64">
        <v>5249629.3600000003</v>
      </c>
      <c r="F6" s="206">
        <f>3500000+500000</f>
        <v>4000000</v>
      </c>
      <c r="G6" s="62" t="s">
        <v>68</v>
      </c>
      <c r="H6" s="61">
        <f>D6-C6</f>
        <v>-5249629.3600000003</v>
      </c>
      <c r="I6" s="60">
        <f>(D6-C6)/C6</f>
        <v>-0.93609728467150166</v>
      </c>
      <c r="J6" s="155">
        <v>3500000</v>
      </c>
      <c r="K6" s="155">
        <v>0</v>
      </c>
    </row>
    <row r="7" spans="1:11" x14ac:dyDescent="0.25">
      <c r="A7" s="207" t="s">
        <v>239</v>
      </c>
      <c r="B7" s="162" t="s">
        <v>238</v>
      </c>
      <c r="C7" s="203">
        <v>1500000</v>
      </c>
      <c r="D7" s="64">
        <v>0</v>
      </c>
      <c r="E7" s="64">
        <v>1500000</v>
      </c>
      <c r="F7" s="206">
        <v>1500000</v>
      </c>
      <c r="G7" s="62" t="s">
        <v>68</v>
      </c>
      <c r="H7" s="61">
        <f>D7-C7</f>
        <v>-1500000</v>
      </c>
      <c r="I7" s="60">
        <f>(D7-C7)/C7</f>
        <v>-1</v>
      </c>
      <c r="J7" s="155">
        <v>1500000</v>
      </c>
      <c r="K7" s="155">
        <v>0</v>
      </c>
    </row>
    <row r="8" spans="1:11" x14ac:dyDescent="0.25">
      <c r="A8" s="204" t="s">
        <v>237</v>
      </c>
      <c r="B8" s="65" t="s">
        <v>236</v>
      </c>
      <c r="C8" s="203">
        <v>1140000</v>
      </c>
      <c r="D8" s="64">
        <v>944011.46</v>
      </c>
      <c r="E8" s="64">
        <v>195988.54000000004</v>
      </c>
      <c r="F8" s="202">
        <v>1140000</v>
      </c>
      <c r="G8" s="62" t="s">
        <v>235</v>
      </c>
      <c r="H8" s="61">
        <f>D8-C8</f>
        <v>-195988.54000000004</v>
      </c>
      <c r="I8" s="60">
        <f>(D8-C8)/C8</f>
        <v>-0.17191977192982461</v>
      </c>
      <c r="J8" s="155">
        <v>0</v>
      </c>
      <c r="K8" s="155">
        <v>0</v>
      </c>
    </row>
    <row r="9" spans="1:11" x14ac:dyDescent="0.25">
      <c r="A9" s="204" t="s">
        <v>234</v>
      </c>
      <c r="B9" s="65" t="s">
        <v>233</v>
      </c>
      <c r="C9" s="203">
        <v>5507530</v>
      </c>
      <c r="D9" s="64">
        <v>1784183.4999999998</v>
      </c>
      <c r="E9" s="64">
        <v>3723346.5</v>
      </c>
      <c r="F9" s="202">
        <v>3157530</v>
      </c>
      <c r="G9" s="62" t="s">
        <v>1</v>
      </c>
      <c r="H9" s="61">
        <f>D9-C9</f>
        <v>-3723346.5</v>
      </c>
      <c r="I9" s="60">
        <f>(D9-C9)/C9</f>
        <v>-0.67604652176202396</v>
      </c>
      <c r="J9" s="155">
        <v>0</v>
      </c>
      <c r="K9" s="155">
        <v>0</v>
      </c>
    </row>
    <row r="10" spans="1:11" x14ac:dyDescent="0.25">
      <c r="A10" s="204" t="s">
        <v>232</v>
      </c>
      <c r="B10" s="65" t="s">
        <v>231</v>
      </c>
      <c r="C10" s="203">
        <v>50420000</v>
      </c>
      <c r="D10" s="64">
        <v>8838695.6999999993</v>
      </c>
      <c r="E10" s="64">
        <v>41581304.299999997</v>
      </c>
      <c r="F10" s="202">
        <v>21320000</v>
      </c>
      <c r="G10" s="62" t="s">
        <v>68</v>
      </c>
      <c r="H10" s="61">
        <f>D10-C10</f>
        <v>-41581304.299999997</v>
      </c>
      <c r="I10" s="60">
        <f>(D10-C10)/C10</f>
        <v>-0.82469861761205865</v>
      </c>
      <c r="J10" s="155">
        <v>0</v>
      </c>
      <c r="K10" s="155">
        <v>0</v>
      </c>
    </row>
    <row r="11" spans="1:11" x14ac:dyDescent="0.25">
      <c r="A11" s="204" t="s">
        <v>230</v>
      </c>
      <c r="B11" s="65" t="s">
        <v>229</v>
      </c>
      <c r="C11" s="203">
        <v>3182728</v>
      </c>
      <c r="D11" s="64">
        <v>0</v>
      </c>
      <c r="E11" s="64">
        <v>3182728</v>
      </c>
      <c r="F11" s="202">
        <v>569000</v>
      </c>
      <c r="G11" s="62" t="s">
        <v>68</v>
      </c>
      <c r="H11" s="61">
        <f>D11-C11</f>
        <v>-3182728</v>
      </c>
      <c r="I11" s="60">
        <f>(D11-C11)/C11</f>
        <v>-1</v>
      </c>
      <c r="J11" s="155">
        <v>0</v>
      </c>
      <c r="K11" s="155">
        <v>4000000</v>
      </c>
    </row>
    <row r="12" spans="1:11" x14ac:dyDescent="0.25">
      <c r="A12" s="204" t="s">
        <v>228</v>
      </c>
      <c r="B12" s="65" t="s">
        <v>227</v>
      </c>
      <c r="C12" s="203">
        <v>323904</v>
      </c>
      <c r="D12" s="64">
        <v>0</v>
      </c>
      <c r="E12" s="64">
        <v>323904</v>
      </c>
      <c r="F12" s="202">
        <v>323904</v>
      </c>
      <c r="G12" s="62" t="s">
        <v>0</v>
      </c>
      <c r="H12" s="61">
        <f>D12-C12</f>
        <v>-323904</v>
      </c>
      <c r="I12" s="60">
        <f>(D12-C12)/C12</f>
        <v>-1</v>
      </c>
      <c r="J12" s="155">
        <v>0</v>
      </c>
      <c r="K12" s="155">
        <v>0</v>
      </c>
    </row>
    <row r="13" spans="1:11" x14ac:dyDescent="0.25">
      <c r="A13" s="204" t="s">
        <v>226</v>
      </c>
      <c r="B13" s="65" t="s">
        <v>225</v>
      </c>
      <c r="C13" s="203">
        <v>323904</v>
      </c>
      <c r="D13" s="64">
        <v>3000</v>
      </c>
      <c r="E13" s="64">
        <v>320904</v>
      </c>
      <c r="F13" s="202">
        <v>323904</v>
      </c>
      <c r="G13" s="62" t="s">
        <v>0</v>
      </c>
      <c r="H13" s="61">
        <f>D13-C13</f>
        <v>-320904</v>
      </c>
      <c r="I13" s="60">
        <f>(D13-C13)/C13</f>
        <v>-0.99073799644339067</v>
      </c>
      <c r="J13" s="155">
        <v>0</v>
      </c>
      <c r="K13" s="155">
        <v>0</v>
      </c>
    </row>
    <row r="14" spans="1:11" x14ac:dyDescent="0.25">
      <c r="A14" s="204" t="s">
        <v>224</v>
      </c>
      <c r="B14" s="65" t="s">
        <v>223</v>
      </c>
      <c r="C14" s="203">
        <v>2000000</v>
      </c>
      <c r="D14" s="64">
        <v>0</v>
      </c>
      <c r="E14" s="64">
        <v>2000000</v>
      </c>
      <c r="F14" s="205">
        <v>2000000</v>
      </c>
      <c r="G14" s="62" t="s">
        <v>1</v>
      </c>
      <c r="H14" s="61">
        <f>D14-C14</f>
        <v>-2000000</v>
      </c>
      <c r="I14" s="60">
        <f>(D14-C14)/C14</f>
        <v>-1</v>
      </c>
      <c r="J14" s="155">
        <v>0</v>
      </c>
      <c r="K14" s="155">
        <v>0</v>
      </c>
    </row>
    <row r="15" spans="1:11" x14ac:dyDescent="0.25">
      <c r="A15" s="204" t="s">
        <v>222</v>
      </c>
      <c r="B15" s="65" t="s">
        <v>221</v>
      </c>
      <c r="C15" s="203">
        <v>2538969.84</v>
      </c>
      <c r="D15" s="64">
        <v>448153.26</v>
      </c>
      <c r="E15" s="64">
        <v>2090816.5799999998</v>
      </c>
      <c r="F15" s="202">
        <v>524000</v>
      </c>
      <c r="G15" s="62" t="s">
        <v>68</v>
      </c>
      <c r="H15" s="61">
        <f>D15-C15</f>
        <v>-2090816.5799999998</v>
      </c>
      <c r="I15" s="60">
        <f>(D15-C15)/C15</f>
        <v>-0.823490120701867</v>
      </c>
      <c r="J15" s="155">
        <v>0</v>
      </c>
      <c r="K15" s="155">
        <v>567000</v>
      </c>
    </row>
    <row r="16" spans="1:11" x14ac:dyDescent="0.25">
      <c r="A16" s="204" t="s">
        <v>220</v>
      </c>
      <c r="B16" s="65" t="s">
        <v>219</v>
      </c>
      <c r="C16" s="203">
        <v>5800000</v>
      </c>
      <c r="D16" s="64">
        <v>1041545.58</v>
      </c>
      <c r="E16" s="64">
        <v>4758454.42</v>
      </c>
      <c r="F16" s="202">
        <f>4300000+1500000</f>
        <v>5800000</v>
      </c>
      <c r="G16" s="62" t="s">
        <v>1</v>
      </c>
      <c r="H16" s="61">
        <f>D16-C16</f>
        <v>-4758454.42</v>
      </c>
      <c r="I16" s="60">
        <f>(D16-C16)/C16</f>
        <v>-0.82042317586206892</v>
      </c>
      <c r="J16" s="155">
        <f>2775742+17291952</f>
        <v>20067694</v>
      </c>
      <c r="K16" s="155">
        <v>0</v>
      </c>
    </row>
    <row r="17" spans="1:11" x14ac:dyDescent="0.25">
      <c r="A17" s="204" t="s">
        <v>72</v>
      </c>
      <c r="B17" s="65" t="s">
        <v>218</v>
      </c>
      <c r="C17" s="203">
        <v>7250115.0299999993</v>
      </c>
      <c r="D17" s="64">
        <v>1793558.9200000002</v>
      </c>
      <c r="E17" s="64">
        <v>5456556.1099999994</v>
      </c>
      <c r="F17" s="202">
        <v>2717000</v>
      </c>
      <c r="G17" s="62" t="s">
        <v>68</v>
      </c>
      <c r="H17" s="61">
        <f>D17-C17</f>
        <v>-5456556.1099999994</v>
      </c>
      <c r="I17" s="60">
        <f>(D17-C17)/C17</f>
        <v>-0.75261648779660806</v>
      </c>
      <c r="J17" s="155">
        <v>2743000</v>
      </c>
      <c r="K17" s="155">
        <v>1997000</v>
      </c>
    </row>
    <row r="18" spans="1:11" x14ac:dyDescent="0.25">
      <c r="A18" s="66" t="s">
        <v>216</v>
      </c>
      <c r="B18" s="160" t="s">
        <v>217</v>
      </c>
      <c r="C18" s="203">
        <v>15511559</v>
      </c>
      <c r="D18" s="64">
        <v>12402358</v>
      </c>
      <c r="E18" s="64">
        <v>3109201</v>
      </c>
      <c r="F18" s="202">
        <f>3116236+0.41</f>
        <v>3116236.41</v>
      </c>
      <c r="G18" s="62" t="s">
        <v>68</v>
      </c>
      <c r="H18" s="61">
        <f>D18-C18</f>
        <v>-3109201</v>
      </c>
      <c r="I18" s="60">
        <f>(D18-C18)/C18</f>
        <v>-0.20044413330729682</v>
      </c>
      <c r="J18" s="155">
        <v>8820500</v>
      </c>
      <c r="K18" s="155">
        <v>4218000</v>
      </c>
    </row>
    <row r="19" spans="1:11" x14ac:dyDescent="0.25">
      <c r="A19" s="66" t="s">
        <v>216</v>
      </c>
      <c r="B19" s="160" t="s">
        <v>215</v>
      </c>
      <c r="C19" s="203">
        <v>44324408.590000004</v>
      </c>
      <c r="D19" s="64">
        <v>29786990.59</v>
      </c>
      <c r="E19" s="64">
        <v>14537418.000000004</v>
      </c>
      <c r="F19" s="202">
        <f>14640542-0.41</f>
        <v>14640541.59</v>
      </c>
      <c r="G19" s="62" t="s">
        <v>68</v>
      </c>
      <c r="H19" s="61">
        <f>D19-C19</f>
        <v>-14537418.000000004</v>
      </c>
      <c r="I19" s="60">
        <f>(D19-C19)/C19</f>
        <v>-0.32797770940320631</v>
      </c>
      <c r="J19" s="155">
        <v>8164000</v>
      </c>
      <c r="K19" s="155">
        <v>0</v>
      </c>
    </row>
    <row r="20" spans="1:11" x14ac:dyDescent="0.25">
      <c r="A20" s="66" t="s">
        <v>214</v>
      </c>
      <c r="B20" s="160" t="s">
        <v>213</v>
      </c>
      <c r="C20" s="203">
        <v>1624473</v>
      </c>
      <c r="D20" s="64">
        <v>1234523.8</v>
      </c>
      <c r="E20" s="64">
        <v>389949.19999999995</v>
      </c>
      <c r="F20" s="202">
        <f>339000</f>
        <v>339000</v>
      </c>
      <c r="G20" s="62" t="s">
        <v>68</v>
      </c>
      <c r="H20" s="61">
        <f>D20-C20</f>
        <v>-389949.19999999995</v>
      </c>
      <c r="I20" s="60">
        <f>(D20-C20)/C20</f>
        <v>-0.24004658741634977</v>
      </c>
      <c r="J20" s="155">
        <v>496000</v>
      </c>
      <c r="K20" s="155">
        <v>635400</v>
      </c>
    </row>
    <row r="21" spans="1:11" x14ac:dyDescent="0.25">
      <c r="A21" s="66" t="s">
        <v>212</v>
      </c>
      <c r="B21" s="160" t="s">
        <v>211</v>
      </c>
      <c r="C21" s="203">
        <v>674195</v>
      </c>
      <c r="D21" s="64">
        <v>553070.1</v>
      </c>
      <c r="E21" s="64">
        <v>121124.90000000002</v>
      </c>
      <c r="F21" s="202">
        <v>147000</v>
      </c>
      <c r="G21" s="62" t="s">
        <v>68</v>
      </c>
      <c r="H21" s="61">
        <f>D21-C21</f>
        <v>-121124.90000000002</v>
      </c>
      <c r="I21" s="60">
        <f>(D21-C21)/C21</f>
        <v>-0.17965855575909051</v>
      </c>
      <c r="J21" s="155">
        <v>400000</v>
      </c>
      <c r="K21" s="155">
        <v>280000</v>
      </c>
    </row>
    <row r="22" spans="1:11" ht="15.75" thickBot="1" x14ac:dyDescent="0.3">
      <c r="A22" s="58" t="s">
        <v>108</v>
      </c>
      <c r="B22" s="57" t="s">
        <v>210</v>
      </c>
      <c r="C22" s="201">
        <v>226879</v>
      </c>
      <c r="D22" s="56">
        <v>0</v>
      </c>
      <c r="E22" s="56">
        <v>226879</v>
      </c>
      <c r="F22" s="200">
        <v>113000</v>
      </c>
      <c r="G22" s="54" t="s">
        <v>68</v>
      </c>
      <c r="H22" s="53">
        <f>D22-C22</f>
        <v>-226879</v>
      </c>
      <c r="I22" s="52">
        <f>(D22-C22)/C22</f>
        <v>-1</v>
      </c>
      <c r="J22" s="51">
        <v>124000</v>
      </c>
      <c r="K22" s="51">
        <v>128000</v>
      </c>
    </row>
  </sheetData>
  <sheetProtection algorithmName="SHA-512" hashValue="iW6qpK4VQsIvUKk4KUZ68qyVkZi2YY2CLfyZxPvi65fdXOK1EpPHIOqh+nzAtUzU/Ll/Ud1eU39zMw3fiPv1BQ==" saltValue="K8ZMqhfVtwlzZdbS+yVfH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7333-84EF-453A-8753-E6A77EBE16B0}">
  <dimension ref="A1:D22"/>
  <sheetViews>
    <sheetView topLeftCell="A6" workbookViewId="0">
      <selection activeCell="L21" sqref="L21"/>
    </sheetView>
  </sheetViews>
  <sheetFormatPr defaultRowHeight="15" x14ac:dyDescent="0.25"/>
  <cols>
    <col min="1" max="1" width="51.140625" customWidth="1"/>
    <col min="2" max="2" width="18.28515625" customWidth="1"/>
    <col min="3" max="3" width="75.7109375" customWidth="1"/>
    <col min="4" max="4" width="75.7109375" style="4" customWidth="1"/>
  </cols>
  <sheetData>
    <row r="1" spans="1:4" ht="30" customHeight="1" thickBot="1" x14ac:dyDescent="0.3">
      <c r="A1" s="165" t="s">
        <v>248</v>
      </c>
      <c r="B1" s="174"/>
      <c r="C1" s="174"/>
      <c r="D1" s="235"/>
    </row>
    <row r="2" spans="1:4" ht="16.5" thickBot="1" x14ac:dyDescent="0.3">
      <c r="A2" s="98" t="s">
        <v>8</v>
      </c>
      <c r="B2" s="98" t="s">
        <v>9</v>
      </c>
      <c r="C2" s="234" t="s">
        <v>104</v>
      </c>
      <c r="D2" s="233" t="s">
        <v>63</v>
      </c>
    </row>
    <row r="3" spans="1:4" ht="27" customHeight="1" x14ac:dyDescent="0.25">
      <c r="A3" s="232" t="s">
        <v>247</v>
      </c>
      <c r="B3" s="231" t="s">
        <v>246</v>
      </c>
      <c r="C3" s="230" t="s">
        <v>272</v>
      </c>
      <c r="D3" s="229" t="s">
        <v>271</v>
      </c>
    </row>
    <row r="4" spans="1:4" ht="27" customHeight="1" x14ac:dyDescent="0.25">
      <c r="A4" s="228" t="s">
        <v>245</v>
      </c>
      <c r="B4" s="227" t="s">
        <v>244</v>
      </c>
      <c r="C4" s="226"/>
      <c r="D4" s="217"/>
    </row>
    <row r="5" spans="1:4" ht="27" customHeight="1" x14ac:dyDescent="0.25">
      <c r="A5" s="228" t="s">
        <v>243</v>
      </c>
      <c r="B5" s="227" t="s">
        <v>242</v>
      </c>
      <c r="C5" s="226"/>
      <c r="D5" s="217"/>
    </row>
    <row r="6" spans="1:4" ht="27" customHeight="1" x14ac:dyDescent="0.25">
      <c r="A6" s="228" t="s">
        <v>241</v>
      </c>
      <c r="B6" s="227" t="s">
        <v>240</v>
      </c>
      <c r="C6" s="226"/>
      <c r="D6" s="217"/>
    </row>
    <row r="7" spans="1:4" ht="27" customHeight="1" x14ac:dyDescent="0.25">
      <c r="A7" s="228" t="s">
        <v>239</v>
      </c>
      <c r="B7" s="227" t="s">
        <v>238</v>
      </c>
      <c r="C7" s="226"/>
      <c r="D7" s="225"/>
    </row>
    <row r="8" spans="1:4" ht="58.5" customHeight="1" x14ac:dyDescent="0.25">
      <c r="A8" s="224" t="s">
        <v>237</v>
      </c>
      <c r="B8" s="90" t="s">
        <v>236</v>
      </c>
      <c r="C8" s="223" t="s">
        <v>270</v>
      </c>
      <c r="D8" s="222" t="s">
        <v>269</v>
      </c>
    </row>
    <row r="9" spans="1:4" ht="37.5" customHeight="1" x14ac:dyDescent="0.25">
      <c r="A9" s="224" t="s">
        <v>234</v>
      </c>
      <c r="B9" s="90" t="s">
        <v>233</v>
      </c>
      <c r="C9" s="223" t="s">
        <v>268</v>
      </c>
      <c r="D9" s="222" t="s">
        <v>267</v>
      </c>
    </row>
    <row r="10" spans="1:4" ht="30" x14ac:dyDescent="0.25">
      <c r="A10" s="224" t="s">
        <v>232</v>
      </c>
      <c r="B10" s="90" t="s">
        <v>231</v>
      </c>
      <c r="C10" s="223" t="s">
        <v>266</v>
      </c>
      <c r="D10" s="222" t="s">
        <v>265</v>
      </c>
    </row>
    <row r="11" spans="1:4" ht="45" x14ac:dyDescent="0.25">
      <c r="A11" s="224" t="s">
        <v>230</v>
      </c>
      <c r="B11" s="90" t="s">
        <v>229</v>
      </c>
      <c r="C11" s="223" t="s">
        <v>264</v>
      </c>
      <c r="D11" s="222" t="s">
        <v>263</v>
      </c>
    </row>
    <row r="12" spans="1:4" ht="107.25" customHeight="1" x14ac:dyDescent="0.25">
      <c r="A12" s="224" t="s">
        <v>228</v>
      </c>
      <c r="B12" s="90" t="s">
        <v>227</v>
      </c>
      <c r="C12" s="223" t="s">
        <v>262</v>
      </c>
      <c r="D12" s="222" t="s">
        <v>261</v>
      </c>
    </row>
    <row r="13" spans="1:4" ht="60" x14ac:dyDescent="0.25">
      <c r="A13" s="224" t="s">
        <v>226</v>
      </c>
      <c r="B13" s="90" t="s">
        <v>225</v>
      </c>
      <c r="C13" s="223" t="s">
        <v>260</v>
      </c>
      <c r="D13" s="222" t="s">
        <v>259</v>
      </c>
    </row>
    <row r="14" spans="1:4" ht="60" x14ac:dyDescent="0.25">
      <c r="A14" s="224" t="s">
        <v>224</v>
      </c>
      <c r="B14" s="90" t="s">
        <v>223</v>
      </c>
      <c r="C14" s="223" t="s">
        <v>258</v>
      </c>
      <c r="D14" s="222" t="s">
        <v>257</v>
      </c>
    </row>
    <row r="15" spans="1:4" ht="45" x14ac:dyDescent="0.25">
      <c r="A15" s="224" t="s">
        <v>222</v>
      </c>
      <c r="B15" s="90" t="s">
        <v>221</v>
      </c>
      <c r="C15" s="223" t="s">
        <v>256</v>
      </c>
      <c r="D15" s="222" t="s">
        <v>255</v>
      </c>
    </row>
    <row r="16" spans="1:4" ht="60" x14ac:dyDescent="0.25">
      <c r="A16" s="224" t="s">
        <v>220</v>
      </c>
      <c r="B16" s="90" t="s">
        <v>219</v>
      </c>
      <c r="C16" s="223" t="s">
        <v>254</v>
      </c>
      <c r="D16" s="222" t="s">
        <v>253</v>
      </c>
    </row>
    <row r="17" spans="1:4" ht="60" x14ac:dyDescent="0.25">
      <c r="A17" s="224" t="s">
        <v>72</v>
      </c>
      <c r="B17" s="90" t="s">
        <v>218</v>
      </c>
      <c r="C17" s="223" t="s">
        <v>252</v>
      </c>
      <c r="D17" s="222" t="s">
        <v>251</v>
      </c>
    </row>
    <row r="18" spans="1:4" x14ac:dyDescent="0.25">
      <c r="A18" s="91" t="s">
        <v>216</v>
      </c>
      <c r="B18" s="219" t="s">
        <v>217</v>
      </c>
      <c r="C18" s="221" t="s">
        <v>250</v>
      </c>
      <c r="D18" s="220" t="s">
        <v>249</v>
      </c>
    </row>
    <row r="19" spans="1:4" x14ac:dyDescent="0.25">
      <c r="A19" s="91" t="s">
        <v>216</v>
      </c>
      <c r="B19" s="219" t="s">
        <v>215</v>
      </c>
      <c r="C19" s="218"/>
      <c r="D19" s="217"/>
    </row>
    <row r="20" spans="1:4" x14ac:dyDescent="0.25">
      <c r="A20" s="91" t="s">
        <v>214</v>
      </c>
      <c r="B20" s="219" t="s">
        <v>213</v>
      </c>
      <c r="C20" s="218"/>
      <c r="D20" s="217"/>
    </row>
    <row r="21" spans="1:4" x14ac:dyDescent="0.25">
      <c r="A21" s="91" t="s">
        <v>212</v>
      </c>
      <c r="B21" s="219" t="s">
        <v>211</v>
      </c>
      <c r="C21" s="218"/>
      <c r="D21" s="217"/>
    </row>
    <row r="22" spans="1:4" ht="15.75" thickBot="1" x14ac:dyDescent="0.3">
      <c r="A22" s="87" t="s">
        <v>108</v>
      </c>
      <c r="B22" s="86" t="s">
        <v>210</v>
      </c>
      <c r="C22" s="216"/>
      <c r="D22" s="215"/>
    </row>
  </sheetData>
  <sheetProtection algorithmName="SHA-512" hashValue="Eo0A/8YymfauYj3l8Sq5PLCaNAM25lc2n5Hr5YVKI4Zq8FlVRWfjJ9goHG0q3r3VzC7Vf9JJlWN7sPlLLcqlsw==" saltValue="nnVvC0SmDVyJXa4xcXz+jA==" spinCount="100000" sheet="1" objects="1" scenarios="1"/>
  <mergeCells count="4">
    <mergeCell ref="C3:C7"/>
    <mergeCell ref="C18:C22"/>
    <mergeCell ref="D3:D7"/>
    <mergeCell ref="D18:D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9DE4-829A-4183-8795-239FBD23EC15}">
  <dimension ref="A1:V51"/>
  <sheetViews>
    <sheetView topLeftCell="K1" workbookViewId="0">
      <selection activeCell="L21" sqref="L21"/>
    </sheetView>
  </sheetViews>
  <sheetFormatPr defaultRowHeight="15" x14ac:dyDescent="0.25"/>
  <cols>
    <col min="2" max="2" width="26.7109375" customWidth="1"/>
    <col min="3" max="3" width="36.85546875" customWidth="1"/>
    <col min="4" max="4" width="13" customWidth="1"/>
    <col min="5" max="5" width="0.28515625" customWidth="1"/>
    <col min="6" max="8" width="14.7109375" hidden="1" customWidth="1"/>
    <col min="9" max="22" width="14.7109375" customWidth="1"/>
    <col min="23" max="23" width="42" customWidth="1"/>
    <col min="24" max="24" width="27.42578125" customWidth="1"/>
  </cols>
  <sheetData>
    <row r="1" spans="1:22" ht="21" x14ac:dyDescent="0.35">
      <c r="A1" s="327"/>
      <c r="B1" s="326"/>
      <c r="C1" s="268"/>
      <c r="D1" s="267"/>
      <c r="E1" s="325" t="s">
        <v>0</v>
      </c>
      <c r="F1" s="324"/>
      <c r="G1" s="324"/>
      <c r="H1" s="323"/>
      <c r="I1" s="322" t="s">
        <v>1</v>
      </c>
      <c r="J1" s="321"/>
      <c r="K1" s="321"/>
      <c r="L1" s="320"/>
      <c r="M1" s="319" t="s">
        <v>2</v>
      </c>
      <c r="N1" s="318"/>
      <c r="O1" s="318"/>
      <c r="P1" s="317"/>
      <c r="Q1" s="316" t="s">
        <v>3</v>
      </c>
      <c r="R1" s="315"/>
      <c r="S1" s="315"/>
      <c r="T1" s="314"/>
      <c r="U1" s="313" t="s">
        <v>4</v>
      </c>
      <c r="V1" s="312" t="s">
        <v>5</v>
      </c>
    </row>
    <row r="2" spans="1:22" ht="15.75" thickBot="1" x14ac:dyDescent="0.3">
      <c r="A2" s="311" t="s">
        <v>6</v>
      </c>
      <c r="B2" s="309" t="s">
        <v>7</v>
      </c>
      <c r="C2" s="310" t="s">
        <v>8</v>
      </c>
      <c r="D2" s="309" t="s">
        <v>9</v>
      </c>
      <c r="E2" s="308" t="s">
        <v>10</v>
      </c>
      <c r="F2" s="307" t="s">
        <v>11</v>
      </c>
      <c r="G2" s="307" t="s">
        <v>12</v>
      </c>
      <c r="H2" s="306" t="s">
        <v>13</v>
      </c>
      <c r="I2" s="305" t="s">
        <v>10</v>
      </c>
      <c r="J2" s="304" t="s">
        <v>11</v>
      </c>
      <c r="K2" s="304" t="s">
        <v>12</v>
      </c>
      <c r="L2" s="303" t="s">
        <v>13</v>
      </c>
      <c r="M2" s="302" t="s">
        <v>10</v>
      </c>
      <c r="N2" s="301" t="s">
        <v>11</v>
      </c>
      <c r="O2" s="301" t="s">
        <v>12</v>
      </c>
      <c r="P2" s="300" t="s">
        <v>13</v>
      </c>
      <c r="Q2" s="299" t="s">
        <v>10</v>
      </c>
      <c r="R2" s="298" t="s">
        <v>11</v>
      </c>
      <c r="S2" s="298" t="s">
        <v>14</v>
      </c>
      <c r="T2" s="297" t="s">
        <v>15</v>
      </c>
      <c r="U2" s="296" t="s">
        <v>10</v>
      </c>
      <c r="V2" s="295" t="s">
        <v>10</v>
      </c>
    </row>
    <row r="3" spans="1:22" ht="15" customHeight="1" x14ac:dyDescent="0.25">
      <c r="A3" s="270" t="s">
        <v>358</v>
      </c>
      <c r="B3" s="294" t="s">
        <v>17</v>
      </c>
      <c r="C3" s="293" t="s">
        <v>357</v>
      </c>
      <c r="D3" s="267" t="s">
        <v>356</v>
      </c>
      <c r="E3" s="292">
        <v>133081</v>
      </c>
      <c r="F3" s="291">
        <v>100226.25</v>
      </c>
      <c r="G3" s="291">
        <v>-32854.75</v>
      </c>
      <c r="H3" s="290">
        <v>-0.24687784131468804</v>
      </c>
      <c r="I3" s="289">
        <v>128408</v>
      </c>
      <c r="J3" s="288">
        <v>26244.49</v>
      </c>
      <c r="K3" s="288">
        <v>-102163.51</v>
      </c>
      <c r="L3" s="287">
        <v>-0.79561639461715772</v>
      </c>
      <c r="M3" s="286">
        <v>126618.20000000001</v>
      </c>
      <c r="N3" s="285">
        <v>0</v>
      </c>
      <c r="O3" s="285">
        <v>-126618.20000000001</v>
      </c>
      <c r="P3" s="284">
        <v>-1</v>
      </c>
      <c r="Q3" s="283">
        <v>114783.66</v>
      </c>
      <c r="R3" s="282">
        <v>0</v>
      </c>
      <c r="S3" s="282">
        <v>-114783.66</v>
      </c>
      <c r="T3" s="281">
        <f>(R3-(Q3*0.75))/(Q3*0.75)</f>
        <v>-1</v>
      </c>
      <c r="U3" s="280">
        <v>157593.75</v>
      </c>
      <c r="V3" s="279">
        <v>161533.59375</v>
      </c>
    </row>
    <row r="4" spans="1:22" x14ac:dyDescent="0.25">
      <c r="A4" s="270"/>
      <c r="B4" s="278"/>
      <c r="C4" s="1" t="s">
        <v>355</v>
      </c>
      <c r="D4" s="277" t="s">
        <v>354</v>
      </c>
      <c r="E4" s="276">
        <v>133081</v>
      </c>
      <c r="F4" s="183">
        <v>112280.65999999999</v>
      </c>
      <c r="G4" s="183">
        <v>-20800.340000000011</v>
      </c>
      <c r="H4" s="265">
        <v>-0.15629834461718811</v>
      </c>
      <c r="I4" s="275">
        <v>128408</v>
      </c>
      <c r="J4" s="181">
        <v>119299.37</v>
      </c>
      <c r="K4" s="181">
        <v>-9108.6300000000047</v>
      </c>
      <c r="L4" s="262">
        <v>-7.0935066351006201E-2</v>
      </c>
      <c r="M4" s="274">
        <v>136618.20000000001</v>
      </c>
      <c r="N4" s="180">
        <v>135385.25</v>
      </c>
      <c r="O4" s="180">
        <v>-1232.9500000000116</v>
      </c>
      <c r="P4" s="259">
        <v>-9.0247858630842122E-3</v>
      </c>
      <c r="Q4" s="273">
        <v>149908.66</v>
      </c>
      <c r="R4" s="179">
        <v>108427.90000000001</v>
      </c>
      <c r="S4" s="179">
        <v>-41480.759999999995</v>
      </c>
      <c r="T4" s="256">
        <f>(R4-(Q4*0.75))/(Q4*0.75)</f>
        <v>-3.5609194736759366E-2</v>
      </c>
      <c r="U4" s="255">
        <v>133028.24637499999</v>
      </c>
      <c r="V4" s="254">
        <v>136353.95253437498</v>
      </c>
    </row>
    <row r="5" spans="1:22" x14ac:dyDescent="0.25">
      <c r="A5" s="270"/>
      <c r="B5" s="278"/>
      <c r="C5" s="1" t="s">
        <v>353</v>
      </c>
      <c r="D5" s="277" t="s">
        <v>352</v>
      </c>
      <c r="E5" s="276">
        <v>132108.21000000002</v>
      </c>
      <c r="F5" s="183">
        <v>84052.69</v>
      </c>
      <c r="G5" s="183">
        <v>-48055.520000000019</v>
      </c>
      <c r="H5" s="265">
        <v>-0.36375877017787167</v>
      </c>
      <c r="I5" s="275">
        <v>137741</v>
      </c>
      <c r="J5" s="181">
        <v>130566.57</v>
      </c>
      <c r="K5" s="181">
        <v>-7174.429999999993</v>
      </c>
      <c r="L5" s="262">
        <v>-5.208637950936898E-2</v>
      </c>
      <c r="M5" s="274">
        <v>138184.53</v>
      </c>
      <c r="N5" s="180">
        <v>130681.19</v>
      </c>
      <c r="O5" s="180">
        <v>-7503.3399999999965</v>
      </c>
      <c r="P5" s="259">
        <v>-5.4299421215963872E-2</v>
      </c>
      <c r="Q5" s="273">
        <v>141639.13812499997</v>
      </c>
      <c r="R5" s="179">
        <v>110743.43</v>
      </c>
      <c r="S5" s="179">
        <v>-30895.708124999976</v>
      </c>
      <c r="T5" s="256">
        <f>(R5-(Q5*0.75))/(Q5*0.75)</f>
        <v>4.249368233485698E-2</v>
      </c>
      <c r="U5" s="255">
        <v>138281.37137499996</v>
      </c>
      <c r="V5" s="254">
        <v>141738.40565937496</v>
      </c>
    </row>
    <row r="6" spans="1:22" x14ac:dyDescent="0.25">
      <c r="A6" s="270"/>
      <c r="B6" s="278"/>
      <c r="C6" s="1" t="s">
        <v>351</v>
      </c>
      <c r="D6" s="277" t="s">
        <v>350</v>
      </c>
      <c r="E6" s="276">
        <v>134081</v>
      </c>
      <c r="F6" s="183">
        <v>120154.68000000001</v>
      </c>
      <c r="G6" s="183">
        <v>-13926.319999999992</v>
      </c>
      <c r="H6" s="265">
        <v>-0.10386497714068356</v>
      </c>
      <c r="I6" s="275">
        <v>142933.03</v>
      </c>
      <c r="J6" s="181">
        <v>127197.84</v>
      </c>
      <c r="K6" s="181">
        <v>-15735.190000000002</v>
      </c>
      <c r="L6" s="262">
        <v>-0.11008785023307771</v>
      </c>
      <c r="M6" s="274">
        <v>140868.85</v>
      </c>
      <c r="N6" s="180">
        <v>132770.22</v>
      </c>
      <c r="O6" s="180">
        <v>-8098.6300000000047</v>
      </c>
      <c r="P6" s="259">
        <v>-5.7490566580191464E-2</v>
      </c>
      <c r="Q6" s="273">
        <v>144390.57189062497</v>
      </c>
      <c r="R6" s="179">
        <v>103609.82</v>
      </c>
      <c r="S6" s="179">
        <v>-40780.751890624961</v>
      </c>
      <c r="T6" s="256">
        <f>(R6-(Q6*0.75))/(Q6*0.75)</f>
        <v>-4.3244826460609946E-2</v>
      </c>
      <c r="U6" s="255">
        <v>145180.11657812496</v>
      </c>
      <c r="V6" s="254">
        <v>148809.61949257806</v>
      </c>
    </row>
    <row r="7" spans="1:22" x14ac:dyDescent="0.25">
      <c r="A7" s="270"/>
      <c r="B7" s="278"/>
      <c r="C7" s="1" t="s">
        <v>349</v>
      </c>
      <c r="D7" s="277" t="s">
        <v>348</v>
      </c>
      <c r="E7" s="276">
        <v>147290</v>
      </c>
      <c r="F7" s="183">
        <v>74688.739999999991</v>
      </c>
      <c r="G7" s="183">
        <v>-72601.260000000009</v>
      </c>
      <c r="H7" s="265">
        <v>-0.49291370765157178</v>
      </c>
      <c r="I7" s="275">
        <v>168272.25</v>
      </c>
      <c r="J7" s="181">
        <v>130032.42</v>
      </c>
      <c r="K7" s="181">
        <v>-38239.83</v>
      </c>
      <c r="L7" s="262">
        <v>-0.22724976934699573</v>
      </c>
      <c r="M7" s="274">
        <v>149746.56</v>
      </c>
      <c r="N7" s="180">
        <v>2021.5400000000002</v>
      </c>
      <c r="O7" s="180">
        <v>-147725.01999999999</v>
      </c>
      <c r="P7" s="259">
        <v>-0.98650025750174153</v>
      </c>
      <c r="Q7" s="273">
        <v>153490.22010499999</v>
      </c>
      <c r="R7" s="179">
        <v>5867.83</v>
      </c>
      <c r="S7" s="179">
        <v>-147622.390105</v>
      </c>
      <c r="T7" s="256">
        <f>(R7-(Q7*0.75))/(Q7*0.75)</f>
        <v>-0.9490275450254666</v>
      </c>
      <c r="U7" s="255">
        <v>148000.33618789059</v>
      </c>
      <c r="V7" s="254">
        <v>151700.34459258785</v>
      </c>
    </row>
    <row r="8" spans="1:22" x14ac:dyDescent="0.25">
      <c r="A8" s="270"/>
      <c r="B8" s="278"/>
      <c r="C8" s="1" t="s">
        <v>347</v>
      </c>
      <c r="D8" s="277" t="s">
        <v>346</v>
      </c>
      <c r="E8" s="276">
        <v>121996.8</v>
      </c>
      <c r="F8" s="183">
        <v>121996.79999999999</v>
      </c>
      <c r="G8" s="183">
        <v>0</v>
      </c>
      <c r="H8" s="265">
        <v>0</v>
      </c>
      <c r="I8" s="275">
        <v>138920.72999999998</v>
      </c>
      <c r="J8" s="181">
        <v>138653.09</v>
      </c>
      <c r="K8" s="181">
        <v>-267.63999999998487</v>
      </c>
      <c r="L8" s="262">
        <v>-1.9265663231109202E-3</v>
      </c>
      <c r="M8" s="274">
        <v>114843.74</v>
      </c>
      <c r="N8" s="180">
        <v>47673.14</v>
      </c>
      <c r="O8" s="180">
        <v>-67170.600000000006</v>
      </c>
      <c r="P8" s="259">
        <v>-0.58488690807178523</v>
      </c>
      <c r="Q8" s="273">
        <v>122839.83670312497</v>
      </c>
      <c r="R8" s="179">
        <v>64347.479999999996</v>
      </c>
      <c r="S8" s="179">
        <v>-58492.356703124969</v>
      </c>
      <c r="T8" s="256">
        <f>(R8-(Q8*0.75))/(Q8*0.75)</f>
        <v>-0.30155687028996686</v>
      </c>
      <c r="U8" s="255">
        <v>157327.47560762498</v>
      </c>
      <c r="V8" s="254">
        <v>161260.66249781559</v>
      </c>
    </row>
    <row r="9" spans="1:22" x14ac:dyDescent="0.25">
      <c r="A9" s="270"/>
      <c r="B9" s="278"/>
      <c r="C9" s="1" t="s">
        <v>345</v>
      </c>
      <c r="D9" s="277" t="s">
        <v>344</v>
      </c>
      <c r="E9" s="276">
        <v>142486</v>
      </c>
      <c r="F9" s="183">
        <v>106354.81999999999</v>
      </c>
      <c r="G9" s="183">
        <v>-36131.180000000008</v>
      </c>
      <c r="H9" s="265">
        <v>-0.25357705318417251</v>
      </c>
      <c r="I9" s="275">
        <v>136048</v>
      </c>
      <c r="J9" s="181">
        <v>110749.83</v>
      </c>
      <c r="K9" s="181">
        <v>-25298.17</v>
      </c>
      <c r="L9" s="262">
        <v>-0.18595032635540396</v>
      </c>
      <c r="M9" s="274">
        <v>139449.19999999998</v>
      </c>
      <c r="N9" s="180">
        <v>114312.10999999999</v>
      </c>
      <c r="O9" s="180">
        <v>-25137.089999999997</v>
      </c>
      <c r="P9" s="259">
        <v>-0.18025983655696842</v>
      </c>
      <c r="Q9" s="273">
        <v>142935.42999999996</v>
      </c>
      <c r="R9" s="179">
        <v>89980.209999999992</v>
      </c>
      <c r="S9" s="179">
        <v>-52955.219999999972</v>
      </c>
      <c r="T9" s="256">
        <f>(R9-(Q9*0.75))/(Q9*0.75)</f>
        <v>-0.16064468177460728</v>
      </c>
      <c r="U9" s="255">
        <v>125910.83262070308</v>
      </c>
      <c r="V9" s="254">
        <v>129058.60343622064</v>
      </c>
    </row>
    <row r="10" spans="1:22" x14ac:dyDescent="0.25">
      <c r="A10" s="270"/>
      <c r="B10" s="278"/>
      <c r="C10" s="1" t="s">
        <v>343</v>
      </c>
      <c r="D10" s="277" t="s">
        <v>342</v>
      </c>
      <c r="E10" s="276">
        <v>0</v>
      </c>
      <c r="F10" s="183">
        <v>0</v>
      </c>
      <c r="G10" s="183">
        <v>0</v>
      </c>
      <c r="H10" s="265">
        <v>0</v>
      </c>
      <c r="I10" s="275">
        <v>88000</v>
      </c>
      <c r="J10" s="181">
        <v>69376.06</v>
      </c>
      <c r="K10" s="181">
        <v>-18623.940000000002</v>
      </c>
      <c r="L10" s="262">
        <v>-0.21163568181818185</v>
      </c>
      <c r="M10" s="274">
        <v>112749.99999999999</v>
      </c>
      <c r="N10" s="180">
        <v>100594.66</v>
      </c>
      <c r="O10" s="180">
        <v>-12155.339999999982</v>
      </c>
      <c r="P10" s="259">
        <v>-0.10780789356984465</v>
      </c>
      <c r="Q10" s="273">
        <v>115568.74999999997</v>
      </c>
      <c r="R10" s="179">
        <v>78817.16</v>
      </c>
      <c r="S10" s="179">
        <v>-36751.589999999967</v>
      </c>
      <c r="T10" s="256">
        <f>(R10-(Q10*0.75))/(Q10*0.75)</f>
        <v>-9.0675059939069116E-2</v>
      </c>
      <c r="U10" s="255">
        <v>146508.81574999995</v>
      </c>
      <c r="V10" s="254">
        <v>150171.53614374992</v>
      </c>
    </row>
    <row r="11" spans="1:22" x14ac:dyDescent="0.25">
      <c r="A11" s="270"/>
      <c r="B11" s="278"/>
      <c r="C11" s="1" t="s">
        <v>341</v>
      </c>
      <c r="D11" s="277" t="s">
        <v>340</v>
      </c>
      <c r="E11" s="276">
        <v>0</v>
      </c>
      <c r="F11" s="183">
        <v>0</v>
      </c>
      <c r="G11" s="183">
        <v>0</v>
      </c>
      <c r="H11" s="265">
        <v>0</v>
      </c>
      <c r="I11" s="275">
        <v>87200</v>
      </c>
      <c r="J11" s="181">
        <v>0</v>
      </c>
      <c r="K11" s="181">
        <v>-87200</v>
      </c>
      <c r="L11" s="262">
        <v>-1</v>
      </c>
      <c r="M11" s="274">
        <v>153750</v>
      </c>
      <c r="N11" s="180">
        <v>125043.81999999999</v>
      </c>
      <c r="O11" s="180">
        <v>-28706.180000000008</v>
      </c>
      <c r="P11" s="259">
        <v>-0.18670686178861792</v>
      </c>
      <c r="Q11" s="273">
        <v>157593.75</v>
      </c>
      <c r="R11" s="179">
        <v>98130.51</v>
      </c>
      <c r="S11" s="179">
        <v>-59463.240000000005</v>
      </c>
      <c r="T11" s="256">
        <f>(R11-(Q11*0.75))/(Q11*0.75)</f>
        <v>-0.16975971445568119</v>
      </c>
      <c r="U11" s="255">
        <v>118457.96874999996</v>
      </c>
      <c r="V11" s="254">
        <v>121419.41796874994</v>
      </c>
    </row>
    <row r="12" spans="1:22" x14ac:dyDescent="0.25">
      <c r="A12" s="270"/>
      <c r="B12" s="278"/>
      <c r="C12" s="1" t="s">
        <v>339</v>
      </c>
      <c r="D12" s="277" t="s">
        <v>338</v>
      </c>
      <c r="E12" s="276">
        <v>0</v>
      </c>
      <c r="F12" s="183">
        <v>0</v>
      </c>
      <c r="G12" s="183">
        <v>0</v>
      </c>
      <c r="H12" s="265">
        <v>0</v>
      </c>
      <c r="I12" s="275">
        <v>150000</v>
      </c>
      <c r="J12" s="181">
        <v>0</v>
      </c>
      <c r="K12" s="181">
        <v>-150000</v>
      </c>
      <c r="L12" s="262">
        <v>-1</v>
      </c>
      <c r="M12" s="274">
        <v>153750</v>
      </c>
      <c r="N12" s="180">
        <v>90960.57</v>
      </c>
      <c r="O12" s="180">
        <v>-62789.429999999993</v>
      </c>
      <c r="P12" s="259">
        <v>-0.40838653658536583</v>
      </c>
      <c r="Q12" s="273">
        <v>157593.75</v>
      </c>
      <c r="R12" s="179">
        <v>50242.630000000005</v>
      </c>
      <c r="S12" s="179">
        <v>-107351.12</v>
      </c>
      <c r="T12" s="256">
        <f>(R12-(Q12*0.75))/(Q12*0.75)</f>
        <v>-0.57491859078590779</v>
      </c>
      <c r="U12" s="255">
        <v>161533.59375</v>
      </c>
      <c r="V12" s="254">
        <v>165571.93359375</v>
      </c>
    </row>
    <row r="13" spans="1:22" x14ac:dyDescent="0.25">
      <c r="A13" s="270"/>
      <c r="B13" s="278"/>
      <c r="C13" s="1" t="s">
        <v>337</v>
      </c>
      <c r="D13" s="277" t="s">
        <v>336</v>
      </c>
      <c r="E13" s="276">
        <v>0</v>
      </c>
      <c r="F13" s="183">
        <v>0</v>
      </c>
      <c r="G13" s="183">
        <v>0</v>
      </c>
      <c r="H13" s="265">
        <v>0</v>
      </c>
      <c r="I13" s="275">
        <v>0</v>
      </c>
      <c r="J13" s="181">
        <v>0</v>
      </c>
      <c r="K13" s="181">
        <v>0</v>
      </c>
      <c r="L13" s="262">
        <v>0</v>
      </c>
      <c r="M13" s="274">
        <v>150000</v>
      </c>
      <c r="N13" s="180">
        <v>0</v>
      </c>
      <c r="O13" s="180">
        <v>-150000</v>
      </c>
      <c r="P13" s="259">
        <v>-1</v>
      </c>
      <c r="Q13" s="273">
        <v>153750</v>
      </c>
      <c r="R13" s="179">
        <v>75649.489999999991</v>
      </c>
      <c r="S13" s="179">
        <v>-78100.510000000009</v>
      </c>
      <c r="T13" s="256">
        <f>(R13-(Q13*0.75))/(Q13*0.75)</f>
        <v>-0.3439610623306234</v>
      </c>
      <c r="U13" s="255">
        <v>161533.59375</v>
      </c>
      <c r="V13" s="254">
        <v>165571.93359375</v>
      </c>
    </row>
    <row r="14" spans="1:22" x14ac:dyDescent="0.25">
      <c r="A14" s="270"/>
      <c r="B14" s="278"/>
      <c r="C14" s="1" t="s">
        <v>335</v>
      </c>
      <c r="D14" s="277" t="s">
        <v>334</v>
      </c>
      <c r="E14" s="276">
        <v>0</v>
      </c>
      <c r="F14" s="183">
        <v>0</v>
      </c>
      <c r="G14" s="183">
        <v>0</v>
      </c>
      <c r="H14" s="265">
        <v>0</v>
      </c>
      <c r="I14" s="275">
        <v>0</v>
      </c>
      <c r="J14" s="181">
        <v>0</v>
      </c>
      <c r="K14" s="181">
        <v>0</v>
      </c>
      <c r="L14" s="262">
        <v>0</v>
      </c>
      <c r="M14" s="274">
        <v>75000</v>
      </c>
      <c r="N14" s="180">
        <v>0</v>
      </c>
      <c r="O14" s="180">
        <v>-75000</v>
      </c>
      <c r="P14" s="259">
        <v>-1</v>
      </c>
      <c r="Q14" s="273">
        <v>153750</v>
      </c>
      <c r="R14" s="179">
        <v>82081.429999999993</v>
      </c>
      <c r="S14" s="179">
        <v>-71668.570000000007</v>
      </c>
      <c r="T14" s="256">
        <f>(R14-(Q14*0.75))/(Q14*0.75)</f>
        <v>-0.28818272086720875</v>
      </c>
      <c r="U14" s="255">
        <v>157593.75</v>
      </c>
      <c r="V14" s="254">
        <v>161533.59375</v>
      </c>
    </row>
    <row r="15" spans="1:22" x14ac:dyDescent="0.25">
      <c r="A15" s="270"/>
      <c r="B15" s="278"/>
      <c r="C15" s="1" t="s">
        <v>333</v>
      </c>
      <c r="D15" s="277" t="s">
        <v>332</v>
      </c>
      <c r="E15" s="276">
        <v>0</v>
      </c>
      <c r="F15" s="183">
        <v>0</v>
      </c>
      <c r="G15" s="183">
        <v>0</v>
      </c>
      <c r="H15" s="265">
        <v>0</v>
      </c>
      <c r="I15" s="275">
        <v>0</v>
      </c>
      <c r="J15" s="181">
        <v>0</v>
      </c>
      <c r="K15" s="181">
        <v>0</v>
      </c>
      <c r="L15" s="262">
        <v>0</v>
      </c>
      <c r="M15" s="274">
        <v>0</v>
      </c>
      <c r="N15" s="180">
        <v>0</v>
      </c>
      <c r="O15" s="180">
        <v>0</v>
      </c>
      <c r="P15" s="259">
        <v>0</v>
      </c>
      <c r="Q15" s="273">
        <v>0</v>
      </c>
      <c r="R15" s="179">
        <v>0</v>
      </c>
      <c r="S15" s="179">
        <v>0</v>
      </c>
      <c r="T15" s="256"/>
      <c r="U15" s="255">
        <v>150000</v>
      </c>
      <c r="V15" s="254">
        <v>153750</v>
      </c>
    </row>
    <row r="16" spans="1:22" x14ac:dyDescent="0.25">
      <c r="A16" s="270"/>
      <c r="B16" s="278"/>
      <c r="C16" s="1" t="s">
        <v>331</v>
      </c>
      <c r="D16" s="277" t="s">
        <v>330</v>
      </c>
      <c r="E16" s="276">
        <v>160464</v>
      </c>
      <c r="F16" s="183">
        <v>160137.61000000002</v>
      </c>
      <c r="G16" s="183">
        <v>-326.38999999998487</v>
      </c>
      <c r="H16" s="265">
        <v>-2.0340387875161089E-3</v>
      </c>
      <c r="I16" s="275">
        <v>164475.34</v>
      </c>
      <c r="J16" s="181">
        <v>164141.01</v>
      </c>
      <c r="K16" s="181">
        <v>-334.32999999998719</v>
      </c>
      <c r="L16" s="262">
        <v>-2.03270593634272E-3</v>
      </c>
      <c r="M16" s="274">
        <v>168587.23</v>
      </c>
      <c r="N16" s="180">
        <v>168244.57</v>
      </c>
      <c r="O16" s="180">
        <v>-342.66000000000349</v>
      </c>
      <c r="P16" s="259">
        <v>-2.0325382889321065E-3</v>
      </c>
      <c r="Q16" s="273">
        <v>172801.90802734371</v>
      </c>
      <c r="R16" s="179">
        <v>129250.2</v>
      </c>
      <c r="S16" s="179">
        <v>-43551.708027343717</v>
      </c>
      <c r="T16" s="256">
        <f>(R16-(Q16*0.75))/(Q16*0.75)</f>
        <v>-2.7100859746850923E-3</v>
      </c>
      <c r="U16" s="255">
        <v>177121.9557280273</v>
      </c>
      <c r="V16" s="254">
        <v>181550.00462122797</v>
      </c>
    </row>
    <row r="17" spans="1:22" x14ac:dyDescent="0.25">
      <c r="A17" s="270"/>
      <c r="B17" s="278"/>
      <c r="C17" s="1" t="s">
        <v>329</v>
      </c>
      <c r="D17" s="277" t="s">
        <v>328</v>
      </c>
      <c r="E17" s="276">
        <v>198858.33</v>
      </c>
      <c r="F17" s="183">
        <v>198858.33</v>
      </c>
      <c r="G17" s="183">
        <v>0</v>
      </c>
      <c r="H17" s="265">
        <v>0</v>
      </c>
      <c r="I17" s="275">
        <v>90000</v>
      </c>
      <c r="J17" s="181">
        <v>74257.14</v>
      </c>
      <c r="K17" s="181">
        <v>-15742.86</v>
      </c>
      <c r="L17" s="262">
        <v>-0.17492066666666667</v>
      </c>
      <c r="M17" s="274">
        <v>200000</v>
      </c>
      <c r="N17" s="180">
        <v>166906.64000000001</v>
      </c>
      <c r="O17" s="180">
        <v>-33093.359999999986</v>
      </c>
      <c r="P17" s="259">
        <v>-0.16546679999999994</v>
      </c>
      <c r="Q17" s="273">
        <v>250000</v>
      </c>
      <c r="R17" s="179">
        <v>161867.24</v>
      </c>
      <c r="S17" s="179">
        <v>-88132.760000000009</v>
      </c>
      <c r="T17" s="256">
        <f>(R17-(Q17*0.75))/(Q17*0.75)</f>
        <v>-0.13670805333333338</v>
      </c>
      <c r="U17" s="255">
        <v>256249.99999999997</v>
      </c>
      <c r="V17" s="254">
        <v>262656.24999999994</v>
      </c>
    </row>
    <row r="18" spans="1:22" ht="15.75" thickBot="1" x14ac:dyDescent="0.3">
      <c r="A18" s="270"/>
      <c r="B18" s="272"/>
      <c r="C18" s="271" t="s">
        <v>34</v>
      </c>
      <c r="D18" s="250"/>
      <c r="E18" s="249">
        <f>SUM(E3:E17)</f>
        <v>1303446.3400000001</v>
      </c>
      <c r="F18" s="248">
        <f>SUM(F3:F17)</f>
        <v>1078750.5799999998</v>
      </c>
      <c r="G18" s="248">
        <f>SUM(G3:G17)</f>
        <v>-224695.76000000004</v>
      </c>
      <c r="H18" s="247">
        <f>(F18-E18)/E18</f>
        <v>-0.1723858920038091</v>
      </c>
      <c r="I18" s="246">
        <f>SUM(I3:I17)</f>
        <v>1560406.35</v>
      </c>
      <c r="J18" s="245">
        <f>SUM(J3:J17)</f>
        <v>1090517.8199999998</v>
      </c>
      <c r="K18" s="245">
        <f>SUM(K3:K17)</f>
        <v>-469888.53</v>
      </c>
      <c r="L18" s="244">
        <f>(J18-I18)/I18</f>
        <v>-0.30113215701794616</v>
      </c>
      <c r="M18" s="243">
        <f>SUM(M3:M17)</f>
        <v>1960166.51</v>
      </c>
      <c r="N18" s="242">
        <f>SUM(N3:N17)</f>
        <v>1214593.71</v>
      </c>
      <c r="O18" s="242">
        <f>SUM(O3:O17)</f>
        <v>-745572.79999999993</v>
      </c>
      <c r="P18" s="241">
        <f>(N18-M18)/M18</f>
        <v>-0.38036197241223146</v>
      </c>
      <c r="Q18" s="240">
        <f>SUM(Q3:Q17)</f>
        <v>2131045.6748510934</v>
      </c>
      <c r="R18" s="239">
        <f>SUM(R3:R17)</f>
        <v>1159015.33</v>
      </c>
      <c r="S18" s="239">
        <f>SUM(S3:S17)</f>
        <v>-972030.3448510936</v>
      </c>
      <c r="T18" s="238">
        <f>((R18-Q18)/Q18)*0.75</f>
        <v>-0.34209626158728879</v>
      </c>
      <c r="U18" s="237">
        <f>SUM(U3:U17)</f>
        <v>2334321.8064723704</v>
      </c>
      <c r="V18" s="236">
        <f>SUM(V3:V17)</f>
        <v>2392679.8516341802</v>
      </c>
    </row>
    <row r="19" spans="1:22" x14ac:dyDescent="0.25">
      <c r="A19" s="270"/>
      <c r="B19" s="294" t="s">
        <v>35</v>
      </c>
      <c r="C19" s="293" t="s">
        <v>327</v>
      </c>
      <c r="D19" s="267" t="s">
        <v>326</v>
      </c>
      <c r="E19" s="292">
        <v>0</v>
      </c>
      <c r="F19" s="291">
        <v>0</v>
      </c>
      <c r="G19" s="291">
        <v>0</v>
      </c>
      <c r="H19" s="290">
        <v>0</v>
      </c>
      <c r="I19" s="289">
        <v>471547</v>
      </c>
      <c r="J19" s="288">
        <v>252589.94</v>
      </c>
      <c r="K19" s="288">
        <v>-218957.06</v>
      </c>
      <c r="L19" s="287">
        <v>-0.46433772243275856</v>
      </c>
      <c r="M19" s="286">
        <v>593394.89</v>
      </c>
      <c r="N19" s="285">
        <v>210446.84999999998</v>
      </c>
      <c r="O19" s="285">
        <v>-382948.04000000004</v>
      </c>
      <c r="P19" s="284">
        <v>-0.64535109158085269</v>
      </c>
      <c r="Q19" s="283">
        <v>608229.76224999991</v>
      </c>
      <c r="R19" s="282">
        <v>109230.7</v>
      </c>
      <c r="S19" s="282">
        <v>-498999.0622499999</v>
      </c>
      <c r="T19" s="281">
        <f>(R19-(Q19*0.75))/(Q19*0.75)</f>
        <v>-0.76054947920573679</v>
      </c>
      <c r="U19" s="280">
        <v>220000</v>
      </c>
      <c r="V19" s="279">
        <v>0</v>
      </c>
    </row>
    <row r="20" spans="1:22" x14ac:dyDescent="0.25">
      <c r="A20" s="270"/>
      <c r="B20" s="278"/>
      <c r="C20" s="1" t="s">
        <v>325</v>
      </c>
      <c r="D20" s="277" t="s">
        <v>324</v>
      </c>
      <c r="E20" s="276">
        <v>205677</v>
      </c>
      <c r="F20" s="183">
        <v>183272.89</v>
      </c>
      <c r="G20" s="183">
        <v>-22404.109999999986</v>
      </c>
      <c r="H20" s="265">
        <v>-0.10892861136636564</v>
      </c>
      <c r="I20" s="275">
        <v>257369</v>
      </c>
      <c r="J20" s="181">
        <v>207242.41999999998</v>
      </c>
      <c r="K20" s="181">
        <v>-50126.580000000016</v>
      </c>
      <c r="L20" s="262">
        <v>-0.19476541463812663</v>
      </c>
      <c r="M20" s="274">
        <v>234884.93</v>
      </c>
      <c r="N20" s="180">
        <v>163609.81</v>
      </c>
      <c r="O20" s="180">
        <v>-71275.12</v>
      </c>
      <c r="P20" s="259">
        <v>-0.30344696869228688</v>
      </c>
      <c r="Q20" s="273">
        <v>140307</v>
      </c>
      <c r="R20" s="179">
        <v>100844.59</v>
      </c>
      <c r="S20" s="179">
        <v>-39462.410000000003</v>
      </c>
      <c r="T20" s="256">
        <f>(R20-(Q20*0.75))/(Q20*0.75)</f>
        <v>-4.1676799209352855E-2</v>
      </c>
      <c r="U20" s="255">
        <v>179300</v>
      </c>
      <c r="V20" s="254">
        <v>500854</v>
      </c>
    </row>
    <row r="21" spans="1:22" x14ac:dyDescent="0.25">
      <c r="A21" s="270"/>
      <c r="B21" s="278"/>
      <c r="C21" s="1" t="s">
        <v>323</v>
      </c>
      <c r="D21" s="277" t="s">
        <v>322</v>
      </c>
      <c r="E21" s="276">
        <v>1749868</v>
      </c>
      <c r="F21" s="183">
        <v>1260380.4400000002</v>
      </c>
      <c r="G21" s="183">
        <v>-489487.55999999982</v>
      </c>
      <c r="H21" s="265">
        <v>-0.27972827664715272</v>
      </c>
      <c r="I21" s="275">
        <v>1825589.7</v>
      </c>
      <c r="J21" s="181">
        <v>1756415.72</v>
      </c>
      <c r="K21" s="181">
        <v>-69173.979999999981</v>
      </c>
      <c r="L21" s="262">
        <v>-3.7891307121200334E-2</v>
      </c>
      <c r="M21" s="274">
        <v>2067464.3</v>
      </c>
      <c r="N21" s="180">
        <v>1927221.24</v>
      </c>
      <c r="O21" s="180">
        <v>-140243.06000000006</v>
      </c>
      <c r="P21" s="259">
        <v>-6.7833364764750742E-2</v>
      </c>
      <c r="Q21" s="273">
        <v>2119150</v>
      </c>
      <c r="R21" s="179">
        <v>1111836.23</v>
      </c>
      <c r="S21" s="179">
        <v>-1007313.77</v>
      </c>
      <c r="T21" s="256">
        <f>(R21-(Q21*0.75))/(Q21*0.75)</f>
        <v>-0.30045145144672786</v>
      </c>
      <c r="U21" s="255">
        <v>1696730</v>
      </c>
      <c r="V21" s="254">
        <v>1601848</v>
      </c>
    </row>
    <row r="22" spans="1:22" x14ac:dyDescent="0.25">
      <c r="A22" s="270"/>
      <c r="B22" s="278"/>
      <c r="C22" s="1" t="s">
        <v>321</v>
      </c>
      <c r="D22" s="277" t="s">
        <v>320</v>
      </c>
      <c r="E22" s="276">
        <v>2320138</v>
      </c>
      <c r="F22" s="183">
        <v>2319973.77</v>
      </c>
      <c r="G22" s="183">
        <v>-164.22999999998137</v>
      </c>
      <c r="H22" s="265">
        <v>-7.0784582641196932E-5</v>
      </c>
      <c r="I22" s="275">
        <v>2300041.4500000002</v>
      </c>
      <c r="J22" s="181">
        <v>2045589.57</v>
      </c>
      <c r="K22" s="181">
        <v>-254451.88000000012</v>
      </c>
      <c r="L22" s="262">
        <v>-0.11062925844227725</v>
      </c>
      <c r="M22" s="274">
        <v>2791854</v>
      </c>
      <c r="N22" s="180">
        <v>2154623.34</v>
      </c>
      <c r="O22" s="180">
        <v>-637230.66000000015</v>
      </c>
      <c r="P22" s="259">
        <v>-0.22824641259893969</v>
      </c>
      <c r="Q22" s="273">
        <v>3194403</v>
      </c>
      <c r="R22" s="179">
        <v>1450283.5</v>
      </c>
      <c r="S22" s="179">
        <v>-1744119.5</v>
      </c>
      <c r="T22" s="256">
        <f>(R22-(Q22*0.75))/(Q22*0.75)</f>
        <v>-0.39465642458596073</v>
      </c>
      <c r="U22" s="255">
        <v>3885968</v>
      </c>
      <c r="V22" s="254">
        <v>4260516</v>
      </c>
    </row>
    <row r="23" spans="1:22" x14ac:dyDescent="0.25">
      <c r="A23" s="270"/>
      <c r="B23" s="278"/>
      <c r="C23" s="1" t="s">
        <v>319</v>
      </c>
      <c r="D23" s="277" t="s">
        <v>318</v>
      </c>
      <c r="E23" s="276">
        <v>2933252</v>
      </c>
      <c r="F23" s="183">
        <v>2926925.1</v>
      </c>
      <c r="G23" s="183">
        <v>-6326.8999999999069</v>
      </c>
      <c r="H23" s="265">
        <v>-2.1569575338224968E-3</v>
      </c>
      <c r="I23" s="275">
        <v>2907358.3</v>
      </c>
      <c r="J23" s="181">
        <v>2025164.59</v>
      </c>
      <c r="K23" s="181">
        <v>-882193.70999999973</v>
      </c>
      <c r="L23" s="262">
        <v>-0.30343480884347823</v>
      </c>
      <c r="M23" s="274">
        <v>3666623</v>
      </c>
      <c r="N23" s="180">
        <v>3390500.97</v>
      </c>
      <c r="O23" s="180">
        <v>-276122.0299999998</v>
      </c>
      <c r="P23" s="259">
        <v>-7.5306905018596076E-2</v>
      </c>
      <c r="Q23" s="273">
        <v>3809119</v>
      </c>
      <c r="R23" s="179">
        <v>2047722.7799999998</v>
      </c>
      <c r="S23" s="179">
        <v>-1761396.2200000002</v>
      </c>
      <c r="T23" s="256">
        <f>(R23-(Q23*0.75))/(Q23*0.75)</f>
        <v>-0.2832208602566631</v>
      </c>
      <c r="U23" s="255">
        <v>3956448</v>
      </c>
      <c r="V23" s="254">
        <v>4055359.1999999997</v>
      </c>
    </row>
    <row r="24" spans="1:22" x14ac:dyDescent="0.25">
      <c r="A24" s="270"/>
      <c r="B24" s="278"/>
      <c r="C24" s="1" t="s">
        <v>317</v>
      </c>
      <c r="D24" s="277" t="s">
        <v>316</v>
      </c>
      <c r="E24" s="276">
        <v>414636</v>
      </c>
      <c r="F24" s="183">
        <v>360648.84</v>
      </c>
      <c r="G24" s="183">
        <v>-53987.159999999974</v>
      </c>
      <c r="H24" s="265">
        <v>-0.13020374497149301</v>
      </c>
      <c r="I24" s="275">
        <v>474001.9</v>
      </c>
      <c r="J24" s="181">
        <v>437081.44000000006</v>
      </c>
      <c r="K24" s="181">
        <v>-36920.459999999963</v>
      </c>
      <c r="L24" s="262">
        <v>-7.7890953601662691E-2</v>
      </c>
      <c r="M24" s="274">
        <v>527109</v>
      </c>
      <c r="N24" s="180">
        <v>491002.68999999994</v>
      </c>
      <c r="O24" s="180">
        <v>-36106.310000000056</v>
      </c>
      <c r="P24" s="259">
        <v>-6.8498754527052383E-2</v>
      </c>
      <c r="Q24" s="273">
        <v>794380</v>
      </c>
      <c r="R24" s="179">
        <v>251400.91999999998</v>
      </c>
      <c r="S24" s="179">
        <v>-542979.08000000007</v>
      </c>
      <c r="T24" s="256">
        <f>(R24-(Q24*0.75))/(Q24*0.75)</f>
        <v>-0.57803415661690039</v>
      </c>
      <c r="U24" s="255">
        <v>1074684</v>
      </c>
      <c r="V24" s="254">
        <v>1101551.0999999999</v>
      </c>
    </row>
    <row r="25" spans="1:22" x14ac:dyDescent="0.25">
      <c r="A25" s="270"/>
      <c r="B25" s="278"/>
      <c r="C25" s="1" t="s">
        <v>315</v>
      </c>
      <c r="D25" s="277" t="s">
        <v>314</v>
      </c>
      <c r="E25" s="276">
        <v>1424975</v>
      </c>
      <c r="F25" s="183">
        <v>1216435.8600000001</v>
      </c>
      <c r="G25" s="183">
        <v>-208539.1399999999</v>
      </c>
      <c r="H25" s="265">
        <v>-0.14634582361094048</v>
      </c>
      <c r="I25" s="275">
        <v>1510824.38</v>
      </c>
      <c r="J25" s="181">
        <v>1380836.4700000002</v>
      </c>
      <c r="K25" s="181">
        <v>-129987.90999999968</v>
      </c>
      <c r="L25" s="262">
        <v>-8.6037736563398387E-2</v>
      </c>
      <c r="M25" s="274">
        <v>2653468</v>
      </c>
      <c r="N25" s="180">
        <v>1545162.02</v>
      </c>
      <c r="O25" s="180">
        <v>-1108305.98</v>
      </c>
      <c r="P25" s="259">
        <v>-0.41768205985525358</v>
      </c>
      <c r="Q25" s="273">
        <v>2719805</v>
      </c>
      <c r="R25" s="179">
        <v>982035.26</v>
      </c>
      <c r="S25" s="179">
        <v>-1737769.74</v>
      </c>
      <c r="T25" s="256">
        <f>(R25-(Q25*0.75))/(Q25*0.75)</f>
        <v>-0.51857565278883355</v>
      </c>
      <c r="U25" s="255">
        <v>2787800.12</v>
      </c>
      <c r="V25" s="254">
        <v>2857495.1229999997</v>
      </c>
    </row>
    <row r="26" spans="1:22" x14ac:dyDescent="0.25">
      <c r="A26" s="270"/>
      <c r="B26" s="278"/>
      <c r="C26" s="1" t="s">
        <v>313</v>
      </c>
      <c r="D26" s="277" t="s">
        <v>312</v>
      </c>
      <c r="E26" s="276">
        <v>0</v>
      </c>
      <c r="F26" s="183">
        <v>0</v>
      </c>
      <c r="G26" s="183">
        <v>0</v>
      </c>
      <c r="H26" s="265">
        <v>0</v>
      </c>
      <c r="I26" s="275">
        <v>621680</v>
      </c>
      <c r="J26" s="181">
        <v>0</v>
      </c>
      <c r="K26" s="181">
        <v>-621680</v>
      </c>
      <c r="L26" s="262">
        <v>-1</v>
      </c>
      <c r="M26" s="274">
        <v>1565623</v>
      </c>
      <c r="N26" s="180">
        <v>0</v>
      </c>
      <c r="O26" s="180">
        <v>-1565623</v>
      </c>
      <c r="P26" s="259">
        <v>-1</v>
      </c>
      <c r="Q26" s="273">
        <v>2581687.46</v>
      </c>
      <c r="R26" s="179">
        <v>1078468.28</v>
      </c>
      <c r="S26" s="179">
        <v>-1503219.18</v>
      </c>
      <c r="T26" s="256">
        <f>(R26-(Q26*0.75))/(Q26*0.75)</f>
        <v>-0.44301634921112149</v>
      </c>
      <c r="U26" s="255">
        <v>2646229.65</v>
      </c>
      <c r="V26" s="254">
        <v>2712385.39</v>
      </c>
    </row>
    <row r="27" spans="1:22" x14ac:dyDescent="0.25">
      <c r="A27" s="270"/>
      <c r="B27" s="278"/>
      <c r="C27" s="1" t="s">
        <v>311</v>
      </c>
      <c r="D27" s="277" t="s">
        <v>310</v>
      </c>
      <c r="E27" s="276">
        <v>493826</v>
      </c>
      <c r="F27" s="183">
        <v>159266.73000000001</v>
      </c>
      <c r="G27" s="183">
        <v>-334559.27</v>
      </c>
      <c r="H27" s="265">
        <v>-0.6774841138376676</v>
      </c>
      <c r="I27" s="275">
        <v>457171.34</v>
      </c>
      <c r="J27" s="181">
        <v>209069.34</v>
      </c>
      <c r="K27" s="181">
        <v>-248102.00000000003</v>
      </c>
      <c r="L27" s="262">
        <v>-0.54268931206405024</v>
      </c>
      <c r="M27" s="274">
        <v>627779.31999999995</v>
      </c>
      <c r="N27" s="180">
        <v>284324.57999999996</v>
      </c>
      <c r="O27" s="180">
        <v>-343454.74</v>
      </c>
      <c r="P27" s="259">
        <v>-0.54709470200451971</v>
      </c>
      <c r="Q27" s="273">
        <v>643473.94649999996</v>
      </c>
      <c r="R27" s="179">
        <v>446322.30000000005</v>
      </c>
      <c r="S27" s="179">
        <v>-197151.64649999992</v>
      </c>
      <c r="T27" s="256">
        <f>(R27-(Q27*0.75))/(Q27*0.75)</f>
        <v>-7.5181826339879423E-2</v>
      </c>
      <c r="U27" s="255">
        <v>986716</v>
      </c>
      <c r="V27" s="254">
        <v>1078451</v>
      </c>
    </row>
    <row r="28" spans="1:22" x14ac:dyDescent="0.25">
      <c r="A28" s="270"/>
      <c r="B28" s="278"/>
      <c r="C28" s="1" t="s">
        <v>309</v>
      </c>
      <c r="D28" s="277" t="s">
        <v>308</v>
      </c>
      <c r="E28" s="276">
        <v>105357</v>
      </c>
      <c r="F28" s="183">
        <v>0</v>
      </c>
      <c r="G28" s="183">
        <v>-105357</v>
      </c>
      <c r="H28" s="265">
        <v>-1</v>
      </c>
      <c r="I28" s="275">
        <v>920263</v>
      </c>
      <c r="J28" s="181">
        <v>0</v>
      </c>
      <c r="K28" s="181">
        <v>-920263</v>
      </c>
      <c r="L28" s="262">
        <v>-1</v>
      </c>
      <c r="M28" s="274">
        <v>2977955.67</v>
      </c>
      <c r="N28" s="180">
        <v>0</v>
      </c>
      <c r="O28" s="180">
        <v>-2977955.67</v>
      </c>
      <c r="P28" s="259">
        <v>-1</v>
      </c>
      <c r="Q28" s="273">
        <v>3052404.9</v>
      </c>
      <c r="R28" s="179">
        <v>392914.79</v>
      </c>
      <c r="S28" s="179">
        <v>-2659490.11</v>
      </c>
      <c r="T28" s="256">
        <f>(R28-(Q28*0.75))/(Q28*0.75)</f>
        <v>-0.82836930098406447</v>
      </c>
      <c r="U28" s="255">
        <v>3128715.0224999995</v>
      </c>
      <c r="V28" s="254">
        <v>3206932.8980624992</v>
      </c>
    </row>
    <row r="29" spans="1:22" x14ac:dyDescent="0.25">
      <c r="A29" s="270"/>
      <c r="B29" s="278"/>
      <c r="C29" s="1" t="s">
        <v>307</v>
      </c>
      <c r="D29" s="277" t="s">
        <v>306</v>
      </c>
      <c r="E29" s="276">
        <v>0</v>
      </c>
      <c r="F29" s="183">
        <v>0</v>
      </c>
      <c r="G29" s="183">
        <v>0</v>
      </c>
      <c r="H29" s="265">
        <v>0</v>
      </c>
      <c r="I29" s="275">
        <v>0</v>
      </c>
      <c r="J29" s="181">
        <v>0</v>
      </c>
      <c r="K29" s="181">
        <v>0</v>
      </c>
      <c r="L29" s="262">
        <v>0</v>
      </c>
      <c r="M29" s="274">
        <v>164988</v>
      </c>
      <c r="N29" s="180">
        <v>0</v>
      </c>
      <c r="O29" s="180">
        <v>-164988</v>
      </c>
      <c r="P29" s="259">
        <v>-1</v>
      </c>
      <c r="Q29" s="273">
        <v>169112.69999999998</v>
      </c>
      <c r="R29" s="179">
        <v>0</v>
      </c>
      <c r="S29" s="179">
        <v>-169112.69999999998</v>
      </c>
      <c r="T29" s="256">
        <f>(R29-(Q29*0.75))/(Q29*0.75)</f>
        <v>-1</v>
      </c>
      <c r="U29" s="255">
        <v>173340.51749999996</v>
      </c>
      <c r="V29" s="254">
        <v>177674.03043749995</v>
      </c>
    </row>
    <row r="30" spans="1:22" x14ac:dyDescent="0.25">
      <c r="A30" s="270"/>
      <c r="B30" s="278"/>
      <c r="C30" s="1" t="s">
        <v>305</v>
      </c>
      <c r="D30" s="277" t="s">
        <v>304</v>
      </c>
      <c r="E30" s="276">
        <v>0</v>
      </c>
      <c r="F30" s="183">
        <v>0</v>
      </c>
      <c r="G30" s="183">
        <v>0</v>
      </c>
      <c r="H30" s="265">
        <v>0</v>
      </c>
      <c r="I30" s="275">
        <v>0</v>
      </c>
      <c r="J30" s="181">
        <v>0</v>
      </c>
      <c r="K30" s="181">
        <v>0</v>
      </c>
      <c r="L30" s="262">
        <v>0</v>
      </c>
      <c r="M30" s="274">
        <v>0</v>
      </c>
      <c r="N30" s="180">
        <v>0</v>
      </c>
      <c r="O30" s="180">
        <v>0</v>
      </c>
      <c r="P30" s="259">
        <v>0</v>
      </c>
      <c r="Q30" s="273">
        <v>296000</v>
      </c>
      <c r="R30" s="179">
        <v>186720.16</v>
      </c>
      <c r="S30" s="179">
        <v>-109279.84</v>
      </c>
      <c r="T30" s="256">
        <f>(R30-(Q30*0.75))/(Q30*0.75)</f>
        <v>-0.15891819819819819</v>
      </c>
      <c r="U30" s="255">
        <v>303400</v>
      </c>
      <c r="V30" s="254">
        <v>310985</v>
      </c>
    </row>
    <row r="31" spans="1:22" x14ac:dyDescent="0.25">
      <c r="A31" s="270"/>
      <c r="B31" s="278"/>
      <c r="C31" s="1" t="s">
        <v>303</v>
      </c>
      <c r="D31" s="277" t="s">
        <v>302</v>
      </c>
      <c r="E31" s="276">
        <v>0</v>
      </c>
      <c r="F31" s="183">
        <v>0</v>
      </c>
      <c r="G31" s="183">
        <v>0</v>
      </c>
      <c r="H31" s="265">
        <v>0</v>
      </c>
      <c r="I31" s="275">
        <v>0</v>
      </c>
      <c r="J31" s="181">
        <v>0</v>
      </c>
      <c r="K31" s="181">
        <v>0</v>
      </c>
      <c r="L31" s="262">
        <v>0</v>
      </c>
      <c r="M31" s="274">
        <v>0</v>
      </c>
      <c r="N31" s="180">
        <v>0</v>
      </c>
      <c r="O31" s="180">
        <v>0</v>
      </c>
      <c r="P31" s="259">
        <v>0</v>
      </c>
      <c r="Q31" s="273">
        <v>25330</v>
      </c>
      <c r="R31" s="179">
        <v>0</v>
      </c>
      <c r="S31" s="179">
        <v>-25330</v>
      </c>
      <c r="T31" s="256">
        <f>(R31-(Q31*0.75))/(Q31*0.75)</f>
        <v>-1</v>
      </c>
      <c r="U31" s="255">
        <v>51865</v>
      </c>
      <c r="V31" s="254">
        <v>53161.624999999993</v>
      </c>
    </row>
    <row r="32" spans="1:22" x14ac:dyDescent="0.25">
      <c r="A32" s="270"/>
      <c r="B32" s="278"/>
      <c r="C32" s="1" t="s">
        <v>301</v>
      </c>
      <c r="D32" s="277" t="s">
        <v>300</v>
      </c>
      <c r="E32" s="276">
        <v>0</v>
      </c>
      <c r="F32" s="183">
        <v>0</v>
      </c>
      <c r="G32" s="183">
        <v>0</v>
      </c>
      <c r="H32" s="265">
        <v>0</v>
      </c>
      <c r="I32" s="275">
        <v>0</v>
      </c>
      <c r="J32" s="181">
        <v>0</v>
      </c>
      <c r="K32" s="181">
        <v>0</v>
      </c>
      <c r="L32" s="262">
        <v>0</v>
      </c>
      <c r="M32" s="274">
        <v>0</v>
      </c>
      <c r="N32" s="180">
        <v>0</v>
      </c>
      <c r="O32" s="180">
        <v>0</v>
      </c>
      <c r="P32" s="259">
        <v>0</v>
      </c>
      <c r="Q32" s="273">
        <v>759690</v>
      </c>
      <c r="R32" s="179">
        <v>0</v>
      </c>
      <c r="S32" s="179">
        <v>-759690</v>
      </c>
      <c r="T32" s="256">
        <f>(R32-(Q32*0.75))/(Q32*0.75)</f>
        <v>-1</v>
      </c>
      <c r="U32" s="255">
        <v>1557365</v>
      </c>
      <c r="V32" s="254">
        <v>1596299.1249999998</v>
      </c>
    </row>
    <row r="33" spans="1:22" x14ac:dyDescent="0.25">
      <c r="A33" s="270"/>
      <c r="B33" s="278"/>
      <c r="C33" s="1" t="s">
        <v>299</v>
      </c>
      <c r="D33" s="277" t="s">
        <v>298</v>
      </c>
      <c r="E33" s="276">
        <v>0</v>
      </c>
      <c r="F33" s="183">
        <v>0</v>
      </c>
      <c r="G33" s="183">
        <v>0</v>
      </c>
      <c r="H33" s="265">
        <v>0</v>
      </c>
      <c r="I33" s="275">
        <v>0</v>
      </c>
      <c r="J33" s="181">
        <v>0</v>
      </c>
      <c r="K33" s="181">
        <v>0</v>
      </c>
      <c r="L33" s="262">
        <v>0</v>
      </c>
      <c r="M33" s="274">
        <v>0</v>
      </c>
      <c r="N33" s="180">
        <v>0</v>
      </c>
      <c r="O33" s="180">
        <v>0</v>
      </c>
      <c r="P33" s="259">
        <v>0</v>
      </c>
      <c r="Q33" s="273">
        <v>61008</v>
      </c>
      <c r="R33" s="179">
        <v>0</v>
      </c>
      <c r="S33" s="179">
        <v>-61008</v>
      </c>
      <c r="T33" s="256">
        <f>(R33-(Q33*0.75))/(Q33*0.75)</f>
        <v>-1</v>
      </c>
      <c r="U33" s="255">
        <v>125065</v>
      </c>
      <c r="V33" s="254">
        <v>128191.62499999999</v>
      </c>
    </row>
    <row r="34" spans="1:22" x14ac:dyDescent="0.25">
      <c r="A34" s="270"/>
      <c r="B34" s="278"/>
      <c r="C34" s="1" t="s">
        <v>297</v>
      </c>
      <c r="D34" s="277" t="s">
        <v>296</v>
      </c>
      <c r="E34" s="276">
        <v>0</v>
      </c>
      <c r="F34" s="183">
        <v>0</v>
      </c>
      <c r="G34" s="183">
        <v>0</v>
      </c>
      <c r="H34" s="265">
        <v>0</v>
      </c>
      <c r="I34" s="275">
        <v>0</v>
      </c>
      <c r="J34" s="181">
        <v>0</v>
      </c>
      <c r="K34" s="181">
        <v>0</v>
      </c>
      <c r="L34" s="262">
        <v>0</v>
      </c>
      <c r="M34" s="274">
        <v>0</v>
      </c>
      <c r="N34" s="180">
        <v>0</v>
      </c>
      <c r="O34" s="180">
        <v>0</v>
      </c>
      <c r="P34" s="259">
        <v>0</v>
      </c>
      <c r="Q34" s="273">
        <v>281463</v>
      </c>
      <c r="R34" s="179">
        <v>0</v>
      </c>
      <c r="S34" s="179">
        <v>-281463</v>
      </c>
      <c r="T34" s="256">
        <f>(R34-(Q34*0.75))/(Q34*0.75)</f>
        <v>-1</v>
      </c>
      <c r="U34" s="255">
        <v>576998</v>
      </c>
      <c r="V34" s="254">
        <v>591422.94999999995</v>
      </c>
    </row>
    <row r="35" spans="1:22" x14ac:dyDescent="0.25">
      <c r="A35" s="270"/>
      <c r="B35" s="278"/>
      <c r="C35" s="1" t="s">
        <v>295</v>
      </c>
      <c r="D35" s="277" t="s">
        <v>294</v>
      </c>
      <c r="E35" s="276">
        <v>0</v>
      </c>
      <c r="F35" s="183">
        <v>0</v>
      </c>
      <c r="G35" s="183">
        <v>0</v>
      </c>
      <c r="H35" s="265">
        <v>0</v>
      </c>
      <c r="I35" s="275">
        <v>0</v>
      </c>
      <c r="J35" s="181">
        <v>0</v>
      </c>
      <c r="K35" s="181">
        <v>0</v>
      </c>
      <c r="L35" s="262">
        <v>0</v>
      </c>
      <c r="M35" s="274">
        <v>0</v>
      </c>
      <c r="N35" s="180">
        <v>0</v>
      </c>
      <c r="O35" s="180">
        <v>0</v>
      </c>
      <c r="P35" s="259">
        <v>0</v>
      </c>
      <c r="Q35" s="273">
        <v>0</v>
      </c>
      <c r="R35" s="179">
        <v>0</v>
      </c>
      <c r="S35" s="179">
        <v>0</v>
      </c>
      <c r="T35" s="256">
        <v>0</v>
      </c>
      <c r="U35" s="255">
        <v>849954</v>
      </c>
      <c r="V35" s="254">
        <v>1742406</v>
      </c>
    </row>
    <row r="36" spans="1:22" x14ac:dyDescent="0.25">
      <c r="A36" s="270"/>
      <c r="B36" s="278"/>
      <c r="C36" s="1" t="s">
        <v>293</v>
      </c>
      <c r="D36" s="277" t="s">
        <v>292</v>
      </c>
      <c r="E36" s="276">
        <v>0</v>
      </c>
      <c r="F36" s="183">
        <v>0</v>
      </c>
      <c r="G36" s="183">
        <v>0</v>
      </c>
      <c r="H36" s="265">
        <v>0</v>
      </c>
      <c r="I36" s="275">
        <v>0</v>
      </c>
      <c r="J36" s="181">
        <v>0</v>
      </c>
      <c r="K36" s="181">
        <v>0</v>
      </c>
      <c r="L36" s="262">
        <v>0</v>
      </c>
      <c r="M36" s="274">
        <v>0</v>
      </c>
      <c r="N36" s="180">
        <v>0</v>
      </c>
      <c r="O36" s="180">
        <v>0</v>
      </c>
      <c r="P36" s="259">
        <v>0</v>
      </c>
      <c r="Q36" s="273">
        <v>0</v>
      </c>
      <c r="R36" s="179">
        <v>0</v>
      </c>
      <c r="S36" s="179">
        <v>0</v>
      </c>
      <c r="T36" s="256">
        <v>0</v>
      </c>
      <c r="U36" s="255">
        <v>1905897</v>
      </c>
      <c r="V36" s="254">
        <v>2344253</v>
      </c>
    </row>
    <row r="37" spans="1:22" x14ac:dyDescent="0.25">
      <c r="A37" s="270"/>
      <c r="B37" s="278"/>
      <c r="C37" s="1" t="s">
        <v>291</v>
      </c>
      <c r="D37" s="277" t="s">
        <v>290</v>
      </c>
      <c r="E37" s="276">
        <v>0</v>
      </c>
      <c r="F37" s="183">
        <v>0</v>
      </c>
      <c r="G37" s="183">
        <v>0</v>
      </c>
      <c r="H37" s="265">
        <v>0</v>
      </c>
      <c r="I37" s="275">
        <v>0</v>
      </c>
      <c r="J37" s="181">
        <v>0</v>
      </c>
      <c r="K37" s="181">
        <v>0</v>
      </c>
      <c r="L37" s="262">
        <v>0</v>
      </c>
      <c r="M37" s="274">
        <v>0</v>
      </c>
      <c r="N37" s="180">
        <v>0</v>
      </c>
      <c r="O37" s="180">
        <v>0</v>
      </c>
      <c r="P37" s="259">
        <v>0</v>
      </c>
      <c r="Q37" s="273">
        <v>0</v>
      </c>
      <c r="R37" s="179">
        <v>0</v>
      </c>
      <c r="S37" s="179">
        <v>0</v>
      </c>
      <c r="T37" s="256">
        <v>0</v>
      </c>
      <c r="U37" s="255">
        <v>1511383</v>
      </c>
      <c r="V37" s="254">
        <v>1859002</v>
      </c>
    </row>
    <row r="38" spans="1:22" x14ac:dyDescent="0.25">
      <c r="A38" s="270"/>
      <c r="B38" s="278"/>
      <c r="C38" s="1" t="s">
        <v>289</v>
      </c>
      <c r="D38" s="277" t="s">
        <v>288</v>
      </c>
      <c r="E38" s="276">
        <v>0</v>
      </c>
      <c r="F38" s="183">
        <v>0</v>
      </c>
      <c r="G38" s="183">
        <v>0</v>
      </c>
      <c r="H38" s="265">
        <v>0</v>
      </c>
      <c r="I38" s="275">
        <v>0</v>
      </c>
      <c r="J38" s="181">
        <v>0</v>
      </c>
      <c r="K38" s="181">
        <v>0</v>
      </c>
      <c r="L38" s="262">
        <v>0</v>
      </c>
      <c r="M38" s="274">
        <v>0</v>
      </c>
      <c r="N38" s="180">
        <v>0</v>
      </c>
      <c r="O38" s="180">
        <v>0</v>
      </c>
      <c r="P38" s="259">
        <v>0</v>
      </c>
      <c r="Q38" s="273">
        <v>0</v>
      </c>
      <c r="R38" s="179">
        <v>0</v>
      </c>
      <c r="S38" s="179">
        <v>0</v>
      </c>
      <c r="T38" s="256">
        <v>0</v>
      </c>
      <c r="U38" s="255">
        <v>295118</v>
      </c>
      <c r="V38" s="254">
        <v>604992</v>
      </c>
    </row>
    <row r="39" spans="1:22" x14ac:dyDescent="0.25">
      <c r="A39" s="270"/>
      <c r="B39" s="278"/>
      <c r="C39" s="1" t="s">
        <v>287</v>
      </c>
      <c r="D39" s="277" t="s">
        <v>286</v>
      </c>
      <c r="E39" s="276">
        <v>0</v>
      </c>
      <c r="F39" s="183">
        <v>0</v>
      </c>
      <c r="G39" s="183">
        <v>0</v>
      </c>
      <c r="H39" s="265">
        <v>0</v>
      </c>
      <c r="I39" s="275">
        <v>0</v>
      </c>
      <c r="J39" s="181">
        <v>0</v>
      </c>
      <c r="K39" s="181">
        <v>0</v>
      </c>
      <c r="L39" s="262">
        <v>0</v>
      </c>
      <c r="M39" s="274">
        <v>0</v>
      </c>
      <c r="N39" s="180">
        <v>0</v>
      </c>
      <c r="O39" s="180">
        <v>0</v>
      </c>
      <c r="P39" s="259">
        <v>0</v>
      </c>
      <c r="Q39" s="273">
        <v>0</v>
      </c>
      <c r="R39" s="179">
        <v>0</v>
      </c>
      <c r="S39" s="179">
        <v>0</v>
      </c>
      <c r="T39" s="256">
        <v>0</v>
      </c>
      <c r="U39" s="255">
        <v>220000</v>
      </c>
      <c r="V39" s="254">
        <v>450999.99999999994</v>
      </c>
    </row>
    <row r="40" spans="1:22" x14ac:dyDescent="0.25">
      <c r="A40" s="270"/>
      <c r="B40" s="278"/>
      <c r="C40" s="1" t="s">
        <v>50</v>
      </c>
      <c r="D40" s="277" t="s">
        <v>285</v>
      </c>
      <c r="E40" s="276">
        <v>1477885</v>
      </c>
      <c r="F40" s="183">
        <v>1477885.0000000002</v>
      </c>
      <c r="G40" s="183">
        <v>0</v>
      </c>
      <c r="H40" s="265">
        <v>0</v>
      </c>
      <c r="I40" s="275">
        <v>1514832.13</v>
      </c>
      <c r="J40" s="181">
        <v>1514832.13</v>
      </c>
      <c r="K40" s="181">
        <v>0</v>
      </c>
      <c r="L40" s="262">
        <v>0</v>
      </c>
      <c r="M40" s="274">
        <v>1873770.63</v>
      </c>
      <c r="N40" s="180">
        <v>1513827.96</v>
      </c>
      <c r="O40" s="180">
        <v>-359942.66999999993</v>
      </c>
      <c r="P40" s="259">
        <v>-0.19209537402131227</v>
      </c>
      <c r="Q40" s="273">
        <v>3188334.5653124996</v>
      </c>
      <c r="R40" s="179">
        <v>1195658.9099999999</v>
      </c>
      <c r="S40" s="179">
        <v>-1992675.6553124997</v>
      </c>
      <c r="T40" s="256">
        <f>(R40-(Q40*0.75))/(Q40*0.75)</f>
        <v>-0.49998601233878176</v>
      </c>
      <c r="U40" s="255">
        <v>3968906</v>
      </c>
      <c r="V40" s="254">
        <v>4395872</v>
      </c>
    </row>
    <row r="41" spans="1:22" x14ac:dyDescent="0.25">
      <c r="A41" s="270"/>
      <c r="B41" s="278"/>
      <c r="C41" s="1" t="s">
        <v>284</v>
      </c>
      <c r="D41" s="277" t="s">
        <v>283</v>
      </c>
      <c r="E41" s="276">
        <v>253134</v>
      </c>
      <c r="F41" s="183">
        <v>162691.79999999999</v>
      </c>
      <c r="G41" s="183">
        <v>-90442.200000000012</v>
      </c>
      <c r="H41" s="265">
        <v>-0.35728981488065614</v>
      </c>
      <c r="I41" s="275">
        <v>259462.35</v>
      </c>
      <c r="J41" s="181">
        <v>114025.29999999999</v>
      </c>
      <c r="K41" s="181">
        <v>-145437.05000000002</v>
      </c>
      <c r="L41" s="262">
        <v>-0.56053238552722584</v>
      </c>
      <c r="M41" s="274">
        <v>593613</v>
      </c>
      <c r="N41" s="180">
        <v>383970.70999999996</v>
      </c>
      <c r="O41" s="180">
        <v>-209642.29000000004</v>
      </c>
      <c r="P41" s="259">
        <v>-0.35316323934954263</v>
      </c>
      <c r="Q41" s="273">
        <v>776749</v>
      </c>
      <c r="R41" s="179">
        <v>162979.74</v>
      </c>
      <c r="S41" s="179">
        <v>-613769.26</v>
      </c>
      <c r="T41" s="256">
        <f>(R41-(Q41*0.75))/(Q41*0.75)</f>
        <v>-0.72023611230912432</v>
      </c>
      <c r="U41" s="255">
        <v>839210</v>
      </c>
      <c r="V41" s="254">
        <v>935816</v>
      </c>
    </row>
    <row r="42" spans="1:22" x14ac:dyDescent="0.25">
      <c r="A42" s="270"/>
      <c r="B42" s="278"/>
      <c r="C42" s="1" t="s">
        <v>282</v>
      </c>
      <c r="D42" s="277" t="s">
        <v>281</v>
      </c>
      <c r="E42" s="276">
        <v>0</v>
      </c>
      <c r="F42" s="183">
        <v>0</v>
      </c>
      <c r="G42" s="183">
        <v>0</v>
      </c>
      <c r="H42" s="265">
        <v>0</v>
      </c>
      <c r="I42" s="275">
        <v>0</v>
      </c>
      <c r="J42" s="181">
        <v>0</v>
      </c>
      <c r="K42" s="181">
        <v>0</v>
      </c>
      <c r="L42" s="262">
        <v>0</v>
      </c>
      <c r="M42" s="274">
        <v>0</v>
      </c>
      <c r="N42" s="180">
        <v>0</v>
      </c>
      <c r="O42" s="180">
        <v>0</v>
      </c>
      <c r="P42" s="259">
        <v>0</v>
      </c>
      <c r="Q42" s="273">
        <v>0</v>
      </c>
      <c r="R42" s="179">
        <v>0</v>
      </c>
      <c r="S42" s="179">
        <v>0</v>
      </c>
      <c r="T42" s="256">
        <v>0</v>
      </c>
      <c r="U42" s="255">
        <v>50000</v>
      </c>
      <c r="V42" s="254">
        <v>101250</v>
      </c>
    </row>
    <row r="43" spans="1:22" x14ac:dyDescent="0.25">
      <c r="A43" s="270"/>
      <c r="B43" s="278"/>
      <c r="C43" s="1" t="s">
        <v>280</v>
      </c>
      <c r="D43" s="277" t="s">
        <v>279</v>
      </c>
      <c r="E43" s="276">
        <v>16368</v>
      </c>
      <c r="F43" s="183">
        <v>9600</v>
      </c>
      <c r="G43" s="183">
        <v>-6768</v>
      </c>
      <c r="H43" s="265">
        <v>-0.41348973607038125</v>
      </c>
      <c r="I43" s="275">
        <v>10000</v>
      </c>
      <c r="J43" s="181">
        <v>7200</v>
      </c>
      <c r="K43" s="181">
        <v>-2800</v>
      </c>
      <c r="L43" s="262">
        <v>-0.28000000000000003</v>
      </c>
      <c r="M43" s="274">
        <v>10250</v>
      </c>
      <c r="N43" s="180">
        <v>9600</v>
      </c>
      <c r="O43" s="180">
        <v>-650</v>
      </c>
      <c r="P43" s="259">
        <v>-6.3414634146341464E-2</v>
      </c>
      <c r="Q43" s="273">
        <v>10506.249999999998</v>
      </c>
      <c r="R43" s="179">
        <v>2400</v>
      </c>
      <c r="S43" s="179">
        <v>-8106.2499999999982</v>
      </c>
      <c r="T43" s="256">
        <f>(R43-(Q43*0.75))/(Q43*0.75)</f>
        <v>-0.69541939321832236</v>
      </c>
      <c r="U43" s="255">
        <v>0</v>
      </c>
      <c r="V43" s="254">
        <v>0</v>
      </c>
    </row>
    <row r="44" spans="1:22" x14ac:dyDescent="0.25">
      <c r="A44" s="270"/>
      <c r="B44" s="278"/>
      <c r="C44" s="1" t="s">
        <v>278</v>
      </c>
      <c r="D44" s="277" t="s">
        <v>277</v>
      </c>
      <c r="E44" s="276">
        <v>0</v>
      </c>
      <c r="F44" s="183">
        <v>0</v>
      </c>
      <c r="G44" s="183">
        <v>0</v>
      </c>
      <c r="H44" s="265">
        <v>0</v>
      </c>
      <c r="I44" s="275">
        <v>0</v>
      </c>
      <c r="J44" s="181">
        <v>0</v>
      </c>
      <c r="K44" s="181">
        <v>0</v>
      </c>
      <c r="L44" s="262">
        <v>0</v>
      </c>
      <c r="M44" s="274">
        <v>261360</v>
      </c>
      <c r="N44" s="180">
        <v>48360</v>
      </c>
      <c r="O44" s="180">
        <v>-213000</v>
      </c>
      <c r="P44" s="259">
        <v>-0.81496786042240588</v>
      </c>
      <c r="Q44" s="273">
        <v>714384</v>
      </c>
      <c r="R44" s="179">
        <v>425880</v>
      </c>
      <c r="S44" s="179">
        <v>-288504</v>
      </c>
      <c r="T44" s="256">
        <f>(R44-(Q44*0.75))/(Q44*0.75)</f>
        <v>-0.20513337364778605</v>
      </c>
      <c r="U44" s="255">
        <v>680000</v>
      </c>
      <c r="V44" s="254">
        <v>696999.99999999988</v>
      </c>
    </row>
    <row r="45" spans="1:22" x14ac:dyDescent="0.25">
      <c r="A45" s="270"/>
      <c r="B45" s="278"/>
      <c r="C45" s="1" t="s">
        <v>52</v>
      </c>
      <c r="D45" s="277" t="s">
        <v>276</v>
      </c>
      <c r="E45" s="276">
        <v>6000</v>
      </c>
      <c r="F45" s="183">
        <v>0</v>
      </c>
      <c r="G45" s="183">
        <v>-6000</v>
      </c>
      <c r="H45" s="265">
        <v>-1</v>
      </c>
      <c r="I45" s="275">
        <v>30000</v>
      </c>
      <c r="J45" s="181">
        <v>14400</v>
      </c>
      <c r="K45" s="181">
        <v>-15600</v>
      </c>
      <c r="L45" s="262">
        <v>-0.52</v>
      </c>
      <c r="M45" s="274">
        <v>105287</v>
      </c>
      <c r="N45" s="180">
        <v>12000</v>
      </c>
      <c r="O45" s="180">
        <v>-93287</v>
      </c>
      <c r="P45" s="259">
        <v>-0.88602581515286782</v>
      </c>
      <c r="Q45" s="273">
        <v>109499</v>
      </c>
      <c r="R45" s="179">
        <v>72354.080000000002</v>
      </c>
      <c r="S45" s="179">
        <v>-37144.92</v>
      </c>
      <c r="T45" s="256">
        <f>(R45-(Q45*0.75))/(Q45*0.75)</f>
        <v>-0.11896814887198359</v>
      </c>
      <c r="U45" s="255">
        <v>190000</v>
      </c>
      <c r="V45" s="254">
        <v>194749.99999999997</v>
      </c>
    </row>
    <row r="46" spans="1:22" x14ac:dyDescent="0.25">
      <c r="A46" s="270"/>
      <c r="B46" s="278"/>
      <c r="C46" s="1" t="s">
        <v>58</v>
      </c>
      <c r="D46" s="277" t="s">
        <v>275</v>
      </c>
      <c r="E46" s="276">
        <v>0</v>
      </c>
      <c r="F46" s="183">
        <v>0</v>
      </c>
      <c r="G46" s="183">
        <v>0</v>
      </c>
      <c r="H46" s="265">
        <v>0</v>
      </c>
      <c r="I46" s="275">
        <v>0</v>
      </c>
      <c r="J46" s="181">
        <v>0</v>
      </c>
      <c r="K46" s="181">
        <v>0</v>
      </c>
      <c r="L46" s="262">
        <v>0</v>
      </c>
      <c r="M46" s="274">
        <v>128124.99999999999</v>
      </c>
      <c r="N46" s="180">
        <v>0</v>
      </c>
      <c r="O46" s="180">
        <v>-128124.99999999999</v>
      </c>
      <c r="P46" s="259">
        <v>-1</v>
      </c>
      <c r="Q46" s="273">
        <v>131328</v>
      </c>
      <c r="R46" s="179">
        <v>0</v>
      </c>
      <c r="S46" s="179">
        <v>-131328</v>
      </c>
      <c r="T46" s="256">
        <f>(R46-(Q46*0.75))/(Q46*0.75)</f>
        <v>-1</v>
      </c>
      <c r="U46" s="255">
        <v>134611.32812499997</v>
      </c>
      <c r="V46" s="254">
        <v>137976.61132812497</v>
      </c>
    </row>
    <row r="47" spans="1:22" x14ac:dyDescent="0.25">
      <c r="A47" s="270"/>
      <c r="B47" s="278"/>
      <c r="C47" s="1" t="s">
        <v>146</v>
      </c>
      <c r="D47" s="277" t="s">
        <v>274</v>
      </c>
      <c r="E47" s="276">
        <v>0</v>
      </c>
      <c r="F47" s="183">
        <v>0</v>
      </c>
      <c r="G47" s="183">
        <v>0</v>
      </c>
      <c r="H47" s="265">
        <v>0</v>
      </c>
      <c r="I47" s="275">
        <v>0</v>
      </c>
      <c r="J47" s="181">
        <v>0</v>
      </c>
      <c r="K47" s="181">
        <v>0</v>
      </c>
      <c r="L47" s="262">
        <v>0</v>
      </c>
      <c r="M47" s="274">
        <v>0</v>
      </c>
      <c r="N47" s="180">
        <v>0</v>
      </c>
      <c r="O47" s="180">
        <v>0</v>
      </c>
      <c r="P47" s="259">
        <v>0</v>
      </c>
      <c r="Q47" s="273">
        <v>2179000</v>
      </c>
      <c r="R47" s="179">
        <v>0</v>
      </c>
      <c r="S47" s="179">
        <v>-2179000</v>
      </c>
      <c r="T47" s="256">
        <f>(R47-(Q47*0.75))/(Q47*0.75)</f>
        <v>-1</v>
      </c>
      <c r="U47" s="255">
        <v>3261000</v>
      </c>
      <c r="V47" s="254">
        <v>3342525</v>
      </c>
    </row>
    <row r="48" spans="1:22" ht="15.75" thickBot="1" x14ac:dyDescent="0.3">
      <c r="A48" s="270"/>
      <c r="B48" s="272"/>
      <c r="C48" s="271" t="s">
        <v>273</v>
      </c>
      <c r="D48" s="250"/>
      <c r="E48" s="249">
        <f>SUM(E19:E47)</f>
        <v>11401116</v>
      </c>
      <c r="F48" s="248">
        <f>SUM(F19:F47)</f>
        <v>10077080.430000002</v>
      </c>
      <c r="G48" s="248">
        <f>SUM(G19:G47)</f>
        <v>-1324035.5699999996</v>
      </c>
      <c r="H48" s="247">
        <f>(F48-E48)/E48</f>
        <v>-0.11613210233103483</v>
      </c>
      <c r="I48" s="246">
        <f>SUM(I19:I47)</f>
        <v>13560140.549999999</v>
      </c>
      <c r="J48" s="245">
        <f>SUM(J19:J47)</f>
        <v>9964446.9200000018</v>
      </c>
      <c r="K48" s="245">
        <f>SUM(K19:K47)</f>
        <v>-3595693.6299999994</v>
      </c>
      <c r="L48" s="244">
        <f>(J48-I48)/I48</f>
        <v>-0.26516639829371069</v>
      </c>
      <c r="M48" s="243">
        <f>SUM(M19:M47)</f>
        <v>20843549.739999998</v>
      </c>
      <c r="N48" s="242">
        <f>SUM(N19:N47)</f>
        <v>12134650.170000002</v>
      </c>
      <c r="O48" s="242">
        <f>SUM(O19:O47)</f>
        <v>-8708899.5700000003</v>
      </c>
      <c r="P48" s="241">
        <f>(N48-M48)/M48</f>
        <v>-0.41782228452609038</v>
      </c>
      <c r="Q48" s="240">
        <f>SUM(Q19:Q47)</f>
        <v>28365364.584062498</v>
      </c>
      <c r="R48" s="239">
        <f>SUM(R19:R47)</f>
        <v>10017052.24</v>
      </c>
      <c r="S48" s="239">
        <f>SUM(S19:S47)</f>
        <v>-18348312.3440625</v>
      </c>
      <c r="T48" s="238">
        <f>(R48-(Q48*0.75))/(Q48*0.75)</f>
        <v>-0.52914161868951826</v>
      </c>
      <c r="U48" s="237">
        <f>SUM(U19:U47)</f>
        <v>37256703.638125002</v>
      </c>
      <c r="V48" s="236">
        <f>SUM(V19:V47)</f>
        <v>41039969.677828118</v>
      </c>
    </row>
    <row r="49" spans="1:22" x14ac:dyDescent="0.25">
      <c r="A49" s="270"/>
      <c r="B49" s="269"/>
      <c r="C49" s="268"/>
      <c r="D49" s="267"/>
      <c r="E49" s="266"/>
      <c r="F49" s="182"/>
      <c r="G49" s="182"/>
      <c r="H49" s="265"/>
      <c r="I49" s="264"/>
      <c r="J49" s="263"/>
      <c r="K49" s="263"/>
      <c r="L49" s="262"/>
      <c r="M49" s="261"/>
      <c r="N49" s="260"/>
      <c r="O49" s="260"/>
      <c r="P49" s="259"/>
      <c r="Q49" s="258"/>
      <c r="R49" s="257"/>
      <c r="S49" s="257"/>
      <c r="T49" s="256"/>
      <c r="U49" s="255"/>
      <c r="V49" s="254"/>
    </row>
    <row r="50" spans="1:22" ht="15.75" thickBot="1" x14ac:dyDescent="0.3">
      <c r="A50" s="253"/>
      <c r="B50" s="252"/>
      <c r="C50" s="251" t="s">
        <v>144</v>
      </c>
      <c r="D50" s="250"/>
      <c r="E50" s="249">
        <f>SUM(E48,E18)</f>
        <v>12704562.34</v>
      </c>
      <c r="F50" s="248">
        <f>SUM(F48,F18)</f>
        <v>11155831.010000002</v>
      </c>
      <c r="G50" s="248">
        <f>SUM(G48,G18)</f>
        <v>-1548731.3299999996</v>
      </c>
      <c r="H50" s="247">
        <f>(F50-E50)/E50</f>
        <v>-0.12190355626213553</v>
      </c>
      <c r="I50" s="246">
        <f>SUM(I48,I18)</f>
        <v>15120546.899999999</v>
      </c>
      <c r="J50" s="245">
        <f>SUM(J48,J18)</f>
        <v>11054964.740000002</v>
      </c>
      <c r="K50" s="245">
        <f>SUM(K48,K18)</f>
        <v>-4065582.1599999992</v>
      </c>
      <c r="L50" s="244">
        <f>(J50-I50)/I50</f>
        <v>-0.26887798350732917</v>
      </c>
      <c r="M50" s="243">
        <f>SUM(M48,M18)</f>
        <v>22803716.25</v>
      </c>
      <c r="N50" s="242">
        <f>SUM(N48,N18)</f>
        <v>13349243.880000003</v>
      </c>
      <c r="O50" s="242">
        <f>SUM(O48,O18)</f>
        <v>-9454472.370000001</v>
      </c>
      <c r="P50" s="241">
        <f>(N50-M50)/M50</f>
        <v>-0.41460226334819428</v>
      </c>
      <c r="Q50" s="240">
        <f>SUM(Q48,Q18)</f>
        <v>30496410.258913592</v>
      </c>
      <c r="R50" s="239">
        <f>SUM(R48,R18)</f>
        <v>11176067.57</v>
      </c>
      <c r="S50" s="239">
        <f>SUM(S48,S18)</f>
        <v>-19320342.688913595</v>
      </c>
      <c r="T50" s="238">
        <f>((R50-Q50)/Q50)*0.75</f>
        <v>-0.4751463170144733</v>
      </c>
      <c r="U50" s="237">
        <f>SUM(U48,U18)</f>
        <v>39591025.444597371</v>
      </c>
      <c r="V50" s="236">
        <f>SUM(V48,V18)</f>
        <v>43432649.5294623</v>
      </c>
    </row>
    <row r="51" spans="1:22" x14ac:dyDescent="0.25">
      <c r="A51" s="1"/>
      <c r="C51" s="1"/>
      <c r="D51" s="1"/>
    </row>
  </sheetData>
  <sheetProtection algorithmName="SHA-512" hashValue="p022K9Fkiu4V2nSjsJ51HO34b4EqTYVgun8TACWMbgYs1nxfNlZVxBpotDB1cAOxY2hf3Y4ixruePUHuvljc4w==" saltValue="ebGSAzq41VMVr5DNeXfBpQ==" spinCount="100000" sheet="1" objects="1" scenarios="1"/>
  <mergeCells count="6">
    <mergeCell ref="A3:A50"/>
    <mergeCell ref="B3:B18"/>
    <mergeCell ref="C18:D18"/>
    <mergeCell ref="B19:B48"/>
    <mergeCell ref="C48:D48"/>
    <mergeCell ref="C50:D5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A9D9-3A95-4B47-ABDC-FA9AAE7AA0A3}">
  <dimension ref="A1:E24"/>
  <sheetViews>
    <sheetView topLeftCell="A13" workbookViewId="0">
      <selection activeCell="L21" sqref="L21"/>
    </sheetView>
  </sheetViews>
  <sheetFormatPr defaultColWidth="9.140625" defaultRowHeight="15" x14ac:dyDescent="0.25"/>
  <cols>
    <col min="1" max="1" width="46" style="49" customWidth="1"/>
    <col min="2" max="2" width="13.7109375" style="49" customWidth="1"/>
    <col min="3" max="3" width="89.28515625" style="196" customWidth="1"/>
    <col min="4" max="4" width="73.7109375" style="49" customWidth="1"/>
    <col min="5" max="5" width="44.85546875" style="49" customWidth="1"/>
    <col min="6" max="16384" width="9.140625" style="49"/>
  </cols>
  <sheetData>
    <row r="1" spans="1:5" s="338" customFormat="1" ht="26.25" customHeight="1" x14ac:dyDescent="0.25">
      <c r="A1" s="340" t="s">
        <v>400</v>
      </c>
      <c r="B1" s="339"/>
      <c r="C1" s="339"/>
      <c r="D1" s="339"/>
    </row>
    <row r="2" spans="1:5" x14ac:dyDescent="0.25">
      <c r="A2" s="336" t="s">
        <v>8</v>
      </c>
      <c r="B2" s="336" t="s">
        <v>9</v>
      </c>
      <c r="C2" s="337" t="s">
        <v>104</v>
      </c>
      <c r="D2" s="336" t="s">
        <v>63</v>
      </c>
      <c r="E2" s="49" t="s">
        <v>399</v>
      </c>
    </row>
    <row r="3" spans="1:5" ht="134.25" customHeight="1" x14ac:dyDescent="0.25">
      <c r="A3" s="329" t="s">
        <v>357</v>
      </c>
      <c r="B3" s="329" t="s">
        <v>356</v>
      </c>
      <c r="C3" s="328" t="s">
        <v>398</v>
      </c>
      <c r="D3" s="333" t="s">
        <v>397</v>
      </c>
      <c r="E3" s="49" t="s">
        <v>394</v>
      </c>
    </row>
    <row r="4" spans="1:5" ht="135" customHeight="1" x14ac:dyDescent="0.25">
      <c r="A4" s="329" t="s">
        <v>355</v>
      </c>
      <c r="B4" s="329" t="s">
        <v>354</v>
      </c>
      <c r="C4" s="332" t="s">
        <v>396</v>
      </c>
      <c r="D4" s="331" t="s">
        <v>386</v>
      </c>
    </row>
    <row r="5" spans="1:5" ht="130.5" customHeight="1" x14ac:dyDescent="0.25">
      <c r="A5" s="329" t="s">
        <v>353</v>
      </c>
      <c r="B5" s="329" t="s">
        <v>352</v>
      </c>
      <c r="C5" s="335" t="s">
        <v>395</v>
      </c>
      <c r="D5" s="331" t="s">
        <v>386</v>
      </c>
      <c r="E5" s="49" t="s">
        <v>394</v>
      </c>
    </row>
    <row r="6" spans="1:5" ht="134.25" customHeight="1" x14ac:dyDescent="0.25">
      <c r="A6" s="329" t="s">
        <v>351</v>
      </c>
      <c r="B6" s="329" t="s">
        <v>350</v>
      </c>
      <c r="C6" s="332" t="s">
        <v>393</v>
      </c>
      <c r="D6" s="331" t="s">
        <v>386</v>
      </c>
    </row>
    <row r="7" spans="1:5" ht="50.25" customHeight="1" x14ac:dyDescent="0.25">
      <c r="A7" s="329" t="s">
        <v>349</v>
      </c>
      <c r="B7" s="329" t="s">
        <v>348</v>
      </c>
      <c r="C7" s="328" t="s">
        <v>392</v>
      </c>
      <c r="D7" s="330" t="s">
        <v>388</v>
      </c>
    </row>
    <row r="8" spans="1:5" ht="50.25" customHeight="1" x14ac:dyDescent="0.25">
      <c r="A8" s="329" t="s">
        <v>347</v>
      </c>
      <c r="B8" s="329" t="s">
        <v>346</v>
      </c>
      <c r="C8" s="328" t="s">
        <v>391</v>
      </c>
      <c r="D8" s="334" t="s">
        <v>390</v>
      </c>
    </row>
    <row r="9" spans="1:5" ht="50.25" customHeight="1" x14ac:dyDescent="0.25">
      <c r="A9" s="329" t="s">
        <v>339</v>
      </c>
      <c r="B9" s="329" t="s">
        <v>338</v>
      </c>
      <c r="C9" s="328" t="s">
        <v>389</v>
      </c>
      <c r="D9" s="333" t="s">
        <v>388</v>
      </c>
    </row>
    <row r="10" spans="1:5" ht="132" customHeight="1" x14ac:dyDescent="0.25">
      <c r="A10" s="329" t="s">
        <v>337</v>
      </c>
      <c r="B10" s="329" t="s">
        <v>336</v>
      </c>
      <c r="C10" s="332" t="s">
        <v>387</v>
      </c>
      <c r="D10" s="331" t="s">
        <v>386</v>
      </c>
    </row>
    <row r="11" spans="1:5" ht="147.75" customHeight="1" x14ac:dyDescent="0.25">
      <c r="A11" s="329" t="s">
        <v>335</v>
      </c>
      <c r="B11" s="329" t="s">
        <v>334</v>
      </c>
      <c r="C11" s="328" t="s">
        <v>385</v>
      </c>
      <c r="D11" s="330" t="s">
        <v>384</v>
      </c>
    </row>
    <row r="12" spans="1:5" ht="90" customHeight="1" x14ac:dyDescent="0.25">
      <c r="A12" s="329" t="s">
        <v>323</v>
      </c>
      <c r="B12" s="329" t="s">
        <v>322</v>
      </c>
      <c r="C12" s="328" t="s">
        <v>383</v>
      </c>
      <c r="D12" s="328" t="s">
        <v>382</v>
      </c>
    </row>
    <row r="13" spans="1:5" ht="87" customHeight="1" x14ac:dyDescent="0.25">
      <c r="A13" s="329" t="s">
        <v>321</v>
      </c>
      <c r="B13" s="329" t="s">
        <v>320</v>
      </c>
      <c r="C13" s="328" t="s">
        <v>381</v>
      </c>
      <c r="D13" s="328" t="s">
        <v>380</v>
      </c>
    </row>
    <row r="14" spans="1:5" ht="50.25" customHeight="1" x14ac:dyDescent="0.25">
      <c r="A14" s="329" t="s">
        <v>317</v>
      </c>
      <c r="B14" s="329" t="s">
        <v>316</v>
      </c>
      <c r="C14" s="328" t="s">
        <v>379</v>
      </c>
      <c r="D14" s="328" t="s">
        <v>378</v>
      </c>
    </row>
    <row r="15" spans="1:5" ht="50.25" customHeight="1" x14ac:dyDescent="0.25">
      <c r="A15" s="329" t="s">
        <v>315</v>
      </c>
      <c r="B15" s="329" t="s">
        <v>314</v>
      </c>
      <c r="C15" s="328" t="s">
        <v>377</v>
      </c>
      <c r="D15" s="329" t="s">
        <v>376</v>
      </c>
    </row>
    <row r="16" spans="1:5" ht="50.25" customHeight="1" x14ac:dyDescent="0.25">
      <c r="A16" s="329" t="s">
        <v>313</v>
      </c>
      <c r="B16" s="329" t="s">
        <v>312</v>
      </c>
      <c r="C16" s="328" t="s">
        <v>375</v>
      </c>
      <c r="D16" s="329"/>
    </row>
    <row r="17" spans="1:4" ht="96.75" customHeight="1" x14ac:dyDescent="0.25">
      <c r="A17" s="329" t="s">
        <v>309</v>
      </c>
      <c r="B17" s="329" t="s">
        <v>308</v>
      </c>
      <c r="C17" s="328" t="s">
        <v>374</v>
      </c>
      <c r="D17" s="328" t="s">
        <v>373</v>
      </c>
    </row>
    <row r="18" spans="1:4" ht="50.25" customHeight="1" x14ac:dyDescent="0.25">
      <c r="A18" s="329" t="s">
        <v>307</v>
      </c>
      <c r="B18" s="329" t="s">
        <v>306</v>
      </c>
      <c r="C18" s="328" t="s">
        <v>372</v>
      </c>
      <c r="D18" s="329" t="s">
        <v>371</v>
      </c>
    </row>
    <row r="19" spans="1:4" ht="50.25" customHeight="1" x14ac:dyDescent="0.25">
      <c r="A19" s="329" t="s">
        <v>303</v>
      </c>
      <c r="B19" s="329" t="s">
        <v>302</v>
      </c>
      <c r="C19" s="328" t="s">
        <v>370</v>
      </c>
      <c r="D19" s="329" t="s">
        <v>369</v>
      </c>
    </row>
    <row r="20" spans="1:4" ht="50.25" customHeight="1" x14ac:dyDescent="0.25">
      <c r="A20" s="329" t="s">
        <v>301</v>
      </c>
      <c r="B20" s="329" t="s">
        <v>300</v>
      </c>
      <c r="C20" s="328" t="s">
        <v>368</v>
      </c>
      <c r="D20" s="329" t="s">
        <v>367</v>
      </c>
    </row>
    <row r="21" spans="1:4" ht="85.5" customHeight="1" x14ac:dyDescent="0.25">
      <c r="A21" s="329" t="s">
        <v>299</v>
      </c>
      <c r="B21" s="329" t="s">
        <v>298</v>
      </c>
      <c r="C21" s="328" t="s">
        <v>366</v>
      </c>
      <c r="D21" s="328" t="s">
        <v>365</v>
      </c>
    </row>
    <row r="22" spans="1:4" ht="105" customHeight="1" x14ac:dyDescent="0.25">
      <c r="A22" s="329" t="s">
        <v>297</v>
      </c>
      <c r="B22" s="329" t="s">
        <v>296</v>
      </c>
      <c r="C22" s="328" t="s">
        <v>364</v>
      </c>
      <c r="D22" s="328" t="s">
        <v>363</v>
      </c>
    </row>
    <row r="23" spans="1:4" ht="50.25" customHeight="1" x14ac:dyDescent="0.25">
      <c r="A23" s="329" t="s">
        <v>58</v>
      </c>
      <c r="B23" s="329" t="s">
        <v>275</v>
      </c>
      <c r="C23" s="328" t="s">
        <v>362</v>
      </c>
      <c r="D23" s="328" t="s">
        <v>361</v>
      </c>
    </row>
    <row r="24" spans="1:4" ht="50.25" customHeight="1" x14ac:dyDescent="0.25">
      <c r="A24" s="329" t="s">
        <v>146</v>
      </c>
      <c r="B24" s="329" t="s">
        <v>274</v>
      </c>
      <c r="C24" s="328" t="s">
        <v>360</v>
      </c>
      <c r="D24" s="328" t="s">
        <v>359</v>
      </c>
    </row>
  </sheetData>
  <sheetProtection algorithmName="SHA-512" hashValue="6Rf2EEWfbmI0JFGN1dryDO2eeREohxFtGi7UK2uq/c/K2SiijO4hy2QRnt0WuTX05FFRHLRU+TcJ+XXefwt2KA==" saltValue="4CRWXloP/Blo+FqVby/CYQ==" spinCount="100000" sheet="1" objects="1" scenarios="1"/>
  <mergeCells count="1">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CCB8C-2BE6-4E5B-BE99-4E873430F7B0}">
  <dimension ref="A1:V6"/>
  <sheetViews>
    <sheetView workbookViewId="0">
      <selection activeCell="L21" sqref="L21"/>
    </sheetView>
  </sheetViews>
  <sheetFormatPr defaultRowHeight="16.5" x14ac:dyDescent="0.3"/>
  <cols>
    <col min="1" max="1" width="9.140625" style="102"/>
    <col min="2" max="2" width="31.7109375" style="102" customWidth="1"/>
    <col min="3" max="3" width="31" style="102" customWidth="1"/>
    <col min="4" max="4" width="13.5703125" style="102" customWidth="1"/>
    <col min="5" max="22" width="13.140625" style="102" customWidth="1"/>
    <col min="23" max="16384" width="9.140625" style="102"/>
  </cols>
  <sheetData>
    <row r="1" spans="1:22" ht="25.5" x14ac:dyDescent="0.5">
      <c r="E1" s="146" t="s">
        <v>0</v>
      </c>
      <c r="F1" s="146"/>
      <c r="G1" s="146"/>
      <c r="H1" s="145"/>
      <c r="I1" s="144" t="s">
        <v>1</v>
      </c>
      <c r="J1" s="144"/>
      <c r="K1" s="144"/>
      <c r="L1" s="143"/>
      <c r="M1" s="142" t="s">
        <v>2</v>
      </c>
      <c r="N1" s="142"/>
      <c r="O1" s="142"/>
      <c r="P1" s="141"/>
      <c r="Q1" s="140" t="s">
        <v>68</v>
      </c>
      <c r="R1" s="140"/>
      <c r="S1" s="140"/>
      <c r="T1" s="139"/>
      <c r="U1" s="138" t="s">
        <v>4</v>
      </c>
      <c r="V1" s="137" t="s">
        <v>5</v>
      </c>
    </row>
    <row r="2" spans="1:22" x14ac:dyDescent="0.3">
      <c r="A2" s="136" t="s">
        <v>6</v>
      </c>
      <c r="B2" s="136" t="s">
        <v>7</v>
      </c>
      <c r="C2" s="136" t="s">
        <v>8</v>
      </c>
      <c r="D2" s="136" t="s">
        <v>9</v>
      </c>
      <c r="E2" s="135" t="s">
        <v>10</v>
      </c>
      <c r="F2" s="135" t="s">
        <v>11</v>
      </c>
      <c r="G2" s="135" t="s">
        <v>12</v>
      </c>
      <c r="H2" s="134" t="s">
        <v>13</v>
      </c>
      <c r="I2" s="133" t="s">
        <v>10</v>
      </c>
      <c r="J2" s="133" t="s">
        <v>11</v>
      </c>
      <c r="K2" s="133" t="s">
        <v>12</v>
      </c>
      <c r="L2" s="132" t="s">
        <v>13</v>
      </c>
      <c r="M2" s="131" t="s">
        <v>10</v>
      </c>
      <c r="N2" s="131" t="s">
        <v>11</v>
      </c>
      <c r="O2" s="131" t="s">
        <v>12</v>
      </c>
      <c r="P2" s="130" t="s">
        <v>13</v>
      </c>
      <c r="Q2" s="129" t="s">
        <v>10</v>
      </c>
      <c r="R2" s="129" t="s">
        <v>11</v>
      </c>
      <c r="S2" s="129" t="s">
        <v>12</v>
      </c>
      <c r="T2" s="128" t="s">
        <v>13</v>
      </c>
      <c r="U2" s="127" t="s">
        <v>10</v>
      </c>
      <c r="V2" s="126" t="s">
        <v>10</v>
      </c>
    </row>
    <row r="3" spans="1:22" x14ac:dyDescent="0.3">
      <c r="A3" s="115" t="s">
        <v>409</v>
      </c>
      <c r="B3" s="114" t="s">
        <v>408</v>
      </c>
      <c r="C3" s="102" t="s">
        <v>407</v>
      </c>
      <c r="D3" s="102" t="s">
        <v>406</v>
      </c>
      <c r="E3" s="125">
        <v>16810</v>
      </c>
      <c r="F3" s="125">
        <v>16810</v>
      </c>
      <c r="G3" s="125">
        <v>0</v>
      </c>
      <c r="H3" s="124">
        <v>0</v>
      </c>
      <c r="I3" s="123">
        <v>22230</v>
      </c>
      <c r="J3" s="123">
        <v>19941.919999999998</v>
      </c>
      <c r="K3" s="123">
        <v>-2288.0800000000017</v>
      </c>
      <c r="L3" s="122">
        <v>-0.10292757534862806</v>
      </c>
      <c r="M3" s="121">
        <v>22661</v>
      </c>
      <c r="N3" s="121">
        <v>21059.89</v>
      </c>
      <c r="O3" s="121">
        <v>-1601.1100000000006</v>
      </c>
      <c r="P3" s="120">
        <v>-7.0654869599752909E-2</v>
      </c>
      <c r="Q3" s="119">
        <v>18103</v>
      </c>
      <c r="R3" s="119">
        <v>13615.65</v>
      </c>
      <c r="S3" s="119">
        <v>-4487.3500000000004</v>
      </c>
      <c r="T3" s="118">
        <f>(R3-(Q3*0.75))/(Q3*0.75)</f>
        <v>2.8282605093078229E-3</v>
      </c>
      <c r="U3" s="117">
        <v>18555</v>
      </c>
      <c r="V3" s="116">
        <v>19019</v>
      </c>
    </row>
    <row r="4" spans="1:22" x14ac:dyDescent="0.3">
      <c r="A4" s="115"/>
      <c r="B4" s="114"/>
      <c r="C4" s="102" t="s">
        <v>405</v>
      </c>
      <c r="D4" s="102" t="s">
        <v>404</v>
      </c>
      <c r="E4" s="125">
        <v>220938</v>
      </c>
      <c r="F4" s="125">
        <v>109431.5</v>
      </c>
      <c r="G4" s="125">
        <v>-111506.5</v>
      </c>
      <c r="H4" s="124">
        <v>-0.50469588753405936</v>
      </c>
      <c r="I4" s="123">
        <v>239461</v>
      </c>
      <c r="J4" s="123">
        <v>116905.72</v>
      </c>
      <c r="K4" s="123">
        <v>-122555.28</v>
      </c>
      <c r="L4" s="122">
        <v>-0.51179640943619209</v>
      </c>
      <c r="M4" s="121">
        <v>228072.46</v>
      </c>
      <c r="N4" s="121">
        <v>136271.65</v>
      </c>
      <c r="O4" s="121">
        <v>-91800.81</v>
      </c>
      <c r="P4" s="120">
        <v>-0.40250721196237371</v>
      </c>
      <c r="Q4" s="119">
        <v>226774.27</v>
      </c>
      <c r="R4" s="119">
        <v>87442.67</v>
      </c>
      <c r="S4" s="119">
        <v>-139331.59999999998</v>
      </c>
      <c r="T4" s="118">
        <f>(R4-(Q4*0.75))/(Q4*0.75)</f>
        <v>-0.48587541846494897</v>
      </c>
      <c r="U4" s="117">
        <v>155568.62927246094</v>
      </c>
      <c r="V4" s="116">
        <v>159457.84500427244</v>
      </c>
    </row>
    <row r="5" spans="1:22" x14ac:dyDescent="0.3">
      <c r="A5" s="115"/>
      <c r="B5" s="341"/>
      <c r="C5" s="102" t="s">
        <v>403</v>
      </c>
      <c r="D5" s="102" t="s">
        <v>402</v>
      </c>
      <c r="E5" s="125">
        <v>343590</v>
      </c>
      <c r="F5" s="125">
        <v>315428.77</v>
      </c>
      <c r="G5" s="125">
        <v>-28161.229999999981</v>
      </c>
      <c r="H5" s="124">
        <v>-8.1961727640501705E-2</v>
      </c>
      <c r="I5" s="123">
        <v>389680</v>
      </c>
      <c r="J5" s="123">
        <v>352233.96</v>
      </c>
      <c r="K5" s="123">
        <v>-37446.039999999979</v>
      </c>
      <c r="L5" s="122">
        <v>-9.6094333812358809E-2</v>
      </c>
      <c r="M5" s="121">
        <v>470000</v>
      </c>
      <c r="N5" s="121">
        <v>323617.28999999998</v>
      </c>
      <c r="O5" s="121">
        <v>-146382.71000000002</v>
      </c>
      <c r="P5" s="120">
        <v>-0.31145257446808516</v>
      </c>
      <c r="Q5" s="119">
        <v>481749.99999999994</v>
      </c>
      <c r="R5" s="119">
        <v>220579.59</v>
      </c>
      <c r="S5" s="119">
        <v>-261170.40999999995</v>
      </c>
      <c r="T5" s="118">
        <f>(R5-(Q5*0.75))/(Q5*0.75)</f>
        <v>-0.38950468085106377</v>
      </c>
      <c r="U5" s="117">
        <v>488478</v>
      </c>
      <c r="V5" s="116">
        <v>500690</v>
      </c>
    </row>
    <row r="6" spans="1:22" x14ac:dyDescent="0.3">
      <c r="B6" s="113" t="s">
        <v>401</v>
      </c>
      <c r="C6" s="113"/>
      <c r="D6" s="113"/>
      <c r="E6" s="112">
        <v>581338</v>
      </c>
      <c r="F6" s="112">
        <v>441670.27</v>
      </c>
      <c r="G6" s="112">
        <v>-139667.72999999998</v>
      </c>
      <c r="H6" s="111">
        <v>-0.24025219407642368</v>
      </c>
      <c r="I6" s="110">
        <v>651371</v>
      </c>
      <c r="J6" s="110">
        <v>489081.60000000003</v>
      </c>
      <c r="K6" s="110">
        <v>-162289.39999999997</v>
      </c>
      <c r="L6" s="109">
        <v>-0.24915048413269852</v>
      </c>
      <c r="M6" s="108">
        <v>720733.46</v>
      </c>
      <c r="N6" s="108">
        <v>480948.82999999996</v>
      </c>
      <c r="O6" s="108">
        <v>-239784.63</v>
      </c>
      <c r="P6" s="107">
        <v>-0.33269529348616617</v>
      </c>
      <c r="Q6" s="106">
        <v>726627.2699999999</v>
      </c>
      <c r="R6" s="106">
        <v>321637.90999999997</v>
      </c>
      <c r="S6" s="106">
        <v>-404989.35999999993</v>
      </c>
      <c r="T6" s="105">
        <v>-0.55735502467447995</v>
      </c>
      <c r="U6" s="104">
        <f>SUM(U3:U5)</f>
        <v>662601.62927246094</v>
      </c>
      <c r="V6" s="104">
        <f>SUM(V3:V5)</f>
        <v>679166.84500427241</v>
      </c>
    </row>
  </sheetData>
  <sheetProtection algorithmName="SHA-512" hashValue="fPxuK2N66fwr8wdTCNDiPtZymTEYkfj/ZncEvxFZGcsDV7eYVu+FcN0dsMMh9qrhuyO3Z2qZQs/Sk8xcQaa8/Q==" saltValue="C5/BYZlL8Y94grVnGY1xvA==" spinCount="100000" sheet="1" objects="1" scenarios="1"/>
  <mergeCells count="2">
    <mergeCell ref="A3:A5"/>
    <mergeCell ref="B3: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F4406-CA08-451C-87C6-2F7CBF728874}">
  <dimension ref="A2:D4"/>
  <sheetViews>
    <sheetView workbookViewId="0">
      <selection activeCell="L21" sqref="L21"/>
    </sheetView>
  </sheetViews>
  <sheetFormatPr defaultColWidth="22.85546875" defaultRowHeight="16.5" x14ac:dyDescent="0.3"/>
  <cols>
    <col min="1" max="1" width="22.85546875" style="102"/>
    <col min="2" max="2" width="13.5703125" style="102" customWidth="1"/>
    <col min="3" max="3" width="57.5703125" style="102" customWidth="1"/>
    <col min="4" max="4" width="67.28515625" style="102" customWidth="1"/>
    <col min="5" max="16384" width="22.85546875" style="102"/>
  </cols>
  <sheetData>
    <row r="2" spans="1:4" x14ac:dyDescent="0.3">
      <c r="A2" s="149" t="s">
        <v>8</v>
      </c>
      <c r="B2" s="149" t="s">
        <v>9</v>
      </c>
      <c r="C2" s="149" t="s">
        <v>104</v>
      </c>
      <c r="D2" s="149" t="s">
        <v>103</v>
      </c>
    </row>
    <row r="3" spans="1:4" ht="297" x14ac:dyDescent="0.3">
      <c r="A3" s="148" t="s">
        <v>405</v>
      </c>
      <c r="B3" s="148" t="s">
        <v>404</v>
      </c>
      <c r="C3" s="147" t="s">
        <v>413</v>
      </c>
      <c r="D3" s="147" t="s">
        <v>412</v>
      </c>
    </row>
    <row r="4" spans="1:4" ht="231" x14ac:dyDescent="0.3">
      <c r="A4" s="148" t="s">
        <v>403</v>
      </c>
      <c r="B4" s="148" t="s">
        <v>402</v>
      </c>
      <c r="C4" s="147" t="s">
        <v>411</v>
      </c>
      <c r="D4" s="147" t="s">
        <v>410</v>
      </c>
    </row>
  </sheetData>
  <sheetProtection algorithmName="SHA-512" hashValue="b5QfuJMdoE4I4cQLL/SfYS1R/lxDfWkiQHzAsBGqjMgm3UAnmuEElKCkI5jg7MnRoF8AOuhGCrIOyZsIli0qzA==" saltValue="hrutZ6Fl6tZaWjKpXMk2dQ=="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BA5C3-E649-4C71-B72D-7B92E2AF8157}">
  <dimension ref="A1:P4"/>
  <sheetViews>
    <sheetView workbookViewId="0">
      <selection activeCell="L21" sqref="L21"/>
    </sheetView>
  </sheetViews>
  <sheetFormatPr defaultRowHeight="15" x14ac:dyDescent="0.25"/>
  <cols>
    <col min="1" max="1" width="27.140625" customWidth="1"/>
    <col min="2" max="2" width="11" customWidth="1"/>
    <col min="3" max="3" width="0.140625" hidden="1" customWidth="1"/>
    <col min="4" max="4" width="9.140625" hidden="1" customWidth="1"/>
    <col min="5" max="5" width="0.140625" hidden="1" customWidth="1"/>
    <col min="6" max="6" width="9.28515625" hidden="1" customWidth="1"/>
    <col min="7" max="7" width="0.28515625" hidden="1" customWidth="1"/>
    <col min="8" max="8" width="9.140625" hidden="1" customWidth="1"/>
    <col min="9" max="9" width="17.28515625" customWidth="1"/>
    <col min="10" max="10" width="16" customWidth="1"/>
    <col min="11" max="11" width="13.7109375" customWidth="1"/>
    <col min="12" max="12" width="19.5703125" customWidth="1"/>
    <col min="13" max="13" width="18" customWidth="1"/>
    <col min="14" max="15" width="18.140625" customWidth="1"/>
    <col min="16" max="16" width="15.7109375" customWidth="1"/>
  </cols>
  <sheetData>
    <row r="1" spans="1:16" ht="31.5" customHeight="1" thickBot="1" x14ac:dyDescent="0.3">
      <c r="A1" s="374" t="s">
        <v>8</v>
      </c>
      <c r="B1" s="374" t="s">
        <v>9</v>
      </c>
      <c r="C1" s="373" t="s">
        <v>426</v>
      </c>
      <c r="D1" s="373" t="s">
        <v>425</v>
      </c>
      <c r="E1" s="373" t="s">
        <v>424</v>
      </c>
      <c r="F1" s="373" t="s">
        <v>423</v>
      </c>
      <c r="G1" s="373" t="s">
        <v>422</v>
      </c>
      <c r="H1" s="373" t="s">
        <v>421</v>
      </c>
      <c r="I1" s="372" t="s">
        <v>420</v>
      </c>
      <c r="J1" s="372" t="s">
        <v>419</v>
      </c>
      <c r="K1" s="372" t="s">
        <v>83</v>
      </c>
      <c r="L1" s="371" t="s">
        <v>82</v>
      </c>
      <c r="M1" s="371" t="s">
        <v>81</v>
      </c>
      <c r="N1" s="370" t="s">
        <v>80</v>
      </c>
      <c r="O1" s="370" t="s">
        <v>79</v>
      </c>
      <c r="P1" s="369" t="s">
        <v>78</v>
      </c>
    </row>
    <row r="2" spans="1:16" x14ac:dyDescent="0.25">
      <c r="A2" s="368" t="s">
        <v>418</v>
      </c>
      <c r="B2" s="368" t="s">
        <v>417</v>
      </c>
      <c r="C2" s="367">
        <v>135000</v>
      </c>
      <c r="D2" s="366">
        <v>135000</v>
      </c>
      <c r="E2" s="366">
        <v>100</v>
      </c>
      <c r="F2" s="366">
        <v>0</v>
      </c>
      <c r="G2" s="366">
        <v>0</v>
      </c>
      <c r="H2" s="365">
        <v>0</v>
      </c>
      <c r="I2" s="364">
        <f>SUM(C2,F2)</f>
        <v>135000</v>
      </c>
      <c r="J2" s="364">
        <f>SUM(D2,G2)</f>
        <v>135000</v>
      </c>
      <c r="K2" s="364">
        <v>0</v>
      </c>
      <c r="L2" s="363">
        <v>135000</v>
      </c>
      <c r="M2" s="362" t="s">
        <v>2</v>
      </c>
      <c r="N2" s="361">
        <v>0</v>
      </c>
      <c r="O2" s="360">
        <v>0</v>
      </c>
      <c r="P2" s="359">
        <v>0</v>
      </c>
    </row>
    <row r="3" spans="1:16" x14ac:dyDescent="0.25">
      <c r="A3" s="358" t="s">
        <v>416</v>
      </c>
      <c r="B3" s="358" t="s">
        <v>415</v>
      </c>
      <c r="C3" s="350">
        <v>0</v>
      </c>
      <c r="D3" s="349">
        <v>0</v>
      </c>
      <c r="E3" s="349">
        <v>0</v>
      </c>
      <c r="F3" s="349">
        <v>3123919</v>
      </c>
      <c r="G3" s="349">
        <v>0</v>
      </c>
      <c r="H3" s="348">
        <v>0</v>
      </c>
      <c r="I3" s="357">
        <f>SUM(C3,F3)</f>
        <v>3123919</v>
      </c>
      <c r="J3" s="357">
        <f>SUM(D3,G3)</f>
        <v>0</v>
      </c>
      <c r="K3" s="357">
        <v>3123919</v>
      </c>
      <c r="L3" s="356">
        <v>3123919</v>
      </c>
      <c r="M3" s="355" t="s">
        <v>68</v>
      </c>
      <c r="N3" s="354">
        <v>3123919</v>
      </c>
      <c r="O3" s="353">
        <v>1</v>
      </c>
      <c r="P3" s="352">
        <v>1080000</v>
      </c>
    </row>
    <row r="4" spans="1:16" ht="15.75" thickBot="1" x14ac:dyDescent="0.3">
      <c r="A4" s="351" t="s">
        <v>212</v>
      </c>
      <c r="B4" s="351" t="s">
        <v>414</v>
      </c>
      <c r="C4" s="350">
        <v>0</v>
      </c>
      <c r="D4" s="349">
        <v>0</v>
      </c>
      <c r="E4" s="349">
        <v>0</v>
      </c>
      <c r="F4" s="349">
        <v>49128</v>
      </c>
      <c r="G4" s="349">
        <v>0</v>
      </c>
      <c r="H4" s="348">
        <v>0</v>
      </c>
      <c r="I4" s="347">
        <f>SUM(C4,F4)</f>
        <v>49128</v>
      </c>
      <c r="J4" s="347">
        <f>SUM(D4,G4)</f>
        <v>0</v>
      </c>
      <c r="K4" s="347">
        <v>49128</v>
      </c>
      <c r="L4" s="346">
        <v>49128</v>
      </c>
      <c r="M4" s="345" t="s">
        <v>68</v>
      </c>
      <c r="N4" s="344">
        <v>49128</v>
      </c>
      <c r="O4" s="343">
        <v>1</v>
      </c>
      <c r="P4" s="342">
        <v>0</v>
      </c>
    </row>
  </sheetData>
  <sheetProtection algorithmName="SHA-512" hashValue="W3ygZo1Am6RuTgUmPpTR0nq15wwQX3F5q2YyMWEofoe6dYoSThD0/z1Cc2BhfpHzKNQflnFKNx1TTfvqqV05mg==" saltValue="zyPXM77DMCTeJzIVkOfOFQ=="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BB1E-3C8A-418F-BAC1-0993CC8F1CDD}">
  <dimension ref="A1:D4"/>
  <sheetViews>
    <sheetView workbookViewId="0">
      <selection activeCell="L21" sqref="L21"/>
    </sheetView>
  </sheetViews>
  <sheetFormatPr defaultColWidth="39.42578125" defaultRowHeight="46.5" customHeight="1" x14ac:dyDescent="0.25"/>
  <cols>
    <col min="2" max="2" width="11.28515625" customWidth="1"/>
    <col min="3" max="3" width="39.85546875" customWidth="1"/>
    <col min="4" max="4" width="54" customWidth="1"/>
  </cols>
  <sheetData>
    <row r="1" spans="1:4" ht="46.5" customHeight="1" thickBot="1" x14ac:dyDescent="0.3">
      <c r="A1" s="384" t="s">
        <v>429</v>
      </c>
      <c r="B1" s="384"/>
      <c r="C1" s="384"/>
      <c r="D1" s="384"/>
    </row>
    <row r="2" spans="1:4" ht="46.5" customHeight="1" thickBot="1" x14ac:dyDescent="0.3">
      <c r="A2" s="382" t="s">
        <v>8</v>
      </c>
      <c r="B2" s="382" t="s">
        <v>9</v>
      </c>
      <c r="C2" s="383" t="s">
        <v>93</v>
      </c>
      <c r="D2" s="382" t="s">
        <v>63</v>
      </c>
    </row>
    <row r="3" spans="1:4" ht="46.5" customHeight="1" x14ac:dyDescent="0.25">
      <c r="A3" s="381" t="s">
        <v>416</v>
      </c>
      <c r="B3" s="380" t="s">
        <v>415</v>
      </c>
      <c r="C3" s="379" t="s">
        <v>428</v>
      </c>
      <c r="D3" s="375" t="s">
        <v>427</v>
      </c>
    </row>
    <row r="4" spans="1:4" ht="46.5" customHeight="1" thickBot="1" x14ac:dyDescent="0.3">
      <c r="A4" s="378" t="s">
        <v>212</v>
      </c>
      <c r="B4" s="377" t="s">
        <v>414</v>
      </c>
      <c r="C4" s="376" t="s">
        <v>428</v>
      </c>
      <c r="D4" s="375" t="s">
        <v>427</v>
      </c>
    </row>
  </sheetData>
  <sheetProtection algorithmName="SHA-512" hashValue="r8bueq6x7gK7R5K+GnHI6LBzkWHKLKi0trJcDGS0745nlPtOZHTXPIf74JD+Sqp3g4pV97nIAMVRiBZ/BCZuGg==" saltValue="4obMSCOtqvVczEVspYVLrQ==" spinCount="100000" sheet="1" objects="1" scenarios="1"/>
  <mergeCells count="1">
    <mergeCell ref="A1:D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83A7-FE73-4D86-8D9D-D8B034EF7C48}">
  <sheetPr>
    <pageSetUpPr fitToPage="1"/>
  </sheetPr>
  <dimension ref="A1:W8"/>
  <sheetViews>
    <sheetView workbookViewId="0">
      <selection activeCell="L21" sqref="L21"/>
    </sheetView>
  </sheetViews>
  <sheetFormatPr defaultRowHeight="15" x14ac:dyDescent="0.25"/>
  <cols>
    <col min="1" max="1" width="17.42578125" customWidth="1"/>
    <col min="2" max="2" width="28.140625" customWidth="1"/>
    <col min="3" max="3" width="29.140625" customWidth="1"/>
    <col min="4" max="4" width="11.85546875" customWidth="1"/>
    <col min="5" max="5" width="22.5703125" customWidth="1"/>
    <col min="6" max="6" width="9.28515625" bestFit="1" customWidth="1"/>
    <col min="7" max="7" width="12.42578125" customWidth="1"/>
    <col min="8" max="8" width="12.85546875" customWidth="1"/>
    <col min="9" max="10" width="10" bestFit="1" customWidth="1"/>
    <col min="11" max="11" width="13" customWidth="1"/>
    <col min="12" max="12" width="13.5703125" customWidth="1"/>
    <col min="13" max="14" width="10" bestFit="1" customWidth="1"/>
    <col min="15" max="15" width="12.5703125" customWidth="1"/>
    <col min="16" max="16" width="13.42578125" customWidth="1"/>
    <col min="17" max="17" width="11.85546875" customWidth="1"/>
    <col min="19" max="19" width="11.85546875" customWidth="1"/>
    <col min="20" max="20" width="13.42578125" customWidth="1"/>
    <col min="21" max="22" width="10" bestFit="1" customWidth="1"/>
    <col min="23" max="23" width="13.140625" customWidth="1"/>
  </cols>
  <sheetData>
    <row r="1" spans="1:23" ht="21" x14ac:dyDescent="0.35">
      <c r="E1" s="472" t="s">
        <v>0</v>
      </c>
      <c r="F1" s="471"/>
      <c r="G1" s="471"/>
      <c r="H1" s="470"/>
      <c r="I1" s="469" t="s">
        <v>1</v>
      </c>
      <c r="J1" s="468"/>
      <c r="K1" s="468"/>
      <c r="L1" s="467"/>
      <c r="M1" s="466" t="s">
        <v>2</v>
      </c>
      <c r="N1" s="465"/>
      <c r="O1" s="465"/>
      <c r="P1" s="464"/>
      <c r="Q1" s="463" t="s">
        <v>68</v>
      </c>
      <c r="R1" s="462"/>
      <c r="S1" s="462"/>
      <c r="T1" s="461"/>
      <c r="U1" s="313" t="s">
        <v>4</v>
      </c>
      <c r="V1" s="312" t="s">
        <v>5</v>
      </c>
      <c r="W1" s="460"/>
    </row>
    <row r="2" spans="1:23" ht="15.75" thickBot="1" x14ac:dyDescent="0.3">
      <c r="A2" s="3" t="s">
        <v>6</v>
      </c>
      <c r="B2" s="3" t="s">
        <v>7</v>
      </c>
      <c r="C2" s="3" t="s">
        <v>8</v>
      </c>
      <c r="D2" s="3" t="s">
        <v>9</v>
      </c>
      <c r="E2" s="459" t="s">
        <v>10</v>
      </c>
      <c r="F2" s="458" t="s">
        <v>11</v>
      </c>
      <c r="G2" s="458" t="s">
        <v>12</v>
      </c>
      <c r="H2" s="457" t="s">
        <v>13</v>
      </c>
      <c r="I2" s="456" t="s">
        <v>10</v>
      </c>
      <c r="J2" s="455" t="s">
        <v>11</v>
      </c>
      <c r="K2" s="455" t="s">
        <v>12</v>
      </c>
      <c r="L2" s="454" t="s">
        <v>13</v>
      </c>
      <c r="M2" s="453" t="s">
        <v>10</v>
      </c>
      <c r="N2" s="452" t="s">
        <v>11</v>
      </c>
      <c r="O2" s="452" t="s">
        <v>12</v>
      </c>
      <c r="P2" s="451" t="s">
        <v>13</v>
      </c>
      <c r="Q2" s="450" t="s">
        <v>10</v>
      </c>
      <c r="R2" s="449" t="s">
        <v>11</v>
      </c>
      <c r="S2" s="449" t="s">
        <v>12</v>
      </c>
      <c r="T2" s="448" t="s">
        <v>13</v>
      </c>
      <c r="U2" s="447" t="s">
        <v>10</v>
      </c>
      <c r="V2" s="446" t="s">
        <v>10</v>
      </c>
    </row>
    <row r="3" spans="1:23" x14ac:dyDescent="0.25">
      <c r="A3" s="401" t="s">
        <v>438</v>
      </c>
      <c r="B3" s="400" t="s">
        <v>17</v>
      </c>
      <c r="C3" t="s">
        <v>437</v>
      </c>
      <c r="D3" t="s">
        <v>436</v>
      </c>
      <c r="E3" s="445">
        <v>0</v>
      </c>
      <c r="F3" s="444">
        <v>0</v>
      </c>
      <c r="G3" s="444">
        <v>0</v>
      </c>
      <c r="H3" s="443">
        <v>0</v>
      </c>
      <c r="I3" s="442">
        <v>0</v>
      </c>
      <c r="J3" s="441">
        <v>0</v>
      </c>
      <c r="K3" s="441">
        <v>0</v>
      </c>
      <c r="L3" s="440">
        <v>0</v>
      </c>
      <c r="M3" s="439">
        <v>0</v>
      </c>
      <c r="N3" s="438">
        <v>0</v>
      </c>
      <c r="O3" s="438">
        <v>0</v>
      </c>
      <c r="P3" s="437">
        <v>0</v>
      </c>
      <c r="Q3" s="436">
        <v>50000</v>
      </c>
      <c r="R3" s="435">
        <v>0</v>
      </c>
      <c r="S3" s="435">
        <v>-50000</v>
      </c>
      <c r="T3" s="434">
        <v>-1</v>
      </c>
      <c r="U3" s="364">
        <v>0</v>
      </c>
      <c r="V3" s="433">
        <v>0</v>
      </c>
    </row>
    <row r="4" spans="1:23" x14ac:dyDescent="0.25">
      <c r="A4" s="401"/>
      <c r="B4" s="400"/>
      <c r="C4" t="s">
        <v>435</v>
      </c>
      <c r="D4" t="s">
        <v>434</v>
      </c>
      <c r="E4" s="415">
        <v>0</v>
      </c>
      <c r="F4" s="414">
        <v>0</v>
      </c>
      <c r="G4" s="414">
        <v>0</v>
      </c>
      <c r="H4" s="413">
        <v>0</v>
      </c>
      <c r="I4" s="412">
        <v>0</v>
      </c>
      <c r="J4" s="411">
        <v>0</v>
      </c>
      <c r="K4" s="411">
        <v>0</v>
      </c>
      <c r="L4" s="410">
        <v>0</v>
      </c>
      <c r="M4" s="409">
        <v>0</v>
      </c>
      <c r="N4" s="408">
        <v>0</v>
      </c>
      <c r="O4" s="408">
        <v>0</v>
      </c>
      <c r="P4" s="407">
        <v>0</v>
      </c>
      <c r="Q4" s="406">
        <v>60157</v>
      </c>
      <c r="R4" s="405">
        <v>0</v>
      </c>
      <c r="S4" s="405">
        <v>-60157</v>
      </c>
      <c r="T4" s="404">
        <v>-1</v>
      </c>
      <c r="U4" s="432">
        <v>0</v>
      </c>
      <c r="V4" s="431">
        <v>0</v>
      </c>
    </row>
    <row r="5" spans="1:23" ht="15.75" thickBot="1" x14ac:dyDescent="0.3">
      <c r="A5" s="401"/>
      <c r="B5" s="400"/>
      <c r="C5" s="399" t="s">
        <v>401</v>
      </c>
      <c r="D5" s="399"/>
      <c r="E5" s="398">
        <f>SUM(E3:E4)</f>
        <v>0</v>
      </c>
      <c r="F5" s="397">
        <f>SUM(F3:F4)</f>
        <v>0</v>
      </c>
      <c r="G5" s="397">
        <f>SUM(G3:G4)</f>
        <v>0</v>
      </c>
      <c r="H5" s="396">
        <f>SUM(H3:H4)</f>
        <v>0</v>
      </c>
      <c r="I5" s="395">
        <f>SUM(I3:I4)</f>
        <v>0</v>
      </c>
      <c r="J5" s="394">
        <f>SUM(J3:J4)</f>
        <v>0</v>
      </c>
      <c r="K5" s="394">
        <f>SUM(K3:K4)</f>
        <v>0</v>
      </c>
      <c r="L5" s="393">
        <f>SUM(L3:L4)</f>
        <v>0</v>
      </c>
      <c r="M5" s="392">
        <f>SUM(M3:M4)</f>
        <v>0</v>
      </c>
      <c r="N5" s="391">
        <f>SUM(N3:N4)</f>
        <v>0</v>
      </c>
      <c r="O5" s="391">
        <f>SUM(O3:O4)</f>
        <v>0</v>
      </c>
      <c r="P5" s="390">
        <f>SUM(P3:P4)</f>
        <v>0</v>
      </c>
      <c r="Q5" s="389">
        <f>SUM(Q3:Q4)</f>
        <v>110157</v>
      </c>
      <c r="R5" s="388">
        <f>SUM(R3:R4)</f>
        <v>0</v>
      </c>
      <c r="S5" s="388">
        <f>SUM(S3:S4)</f>
        <v>-110157</v>
      </c>
      <c r="T5" s="387">
        <v>-1</v>
      </c>
      <c r="U5" s="347">
        <f>SUM(U3:U4)</f>
        <v>0</v>
      </c>
      <c r="V5" s="430">
        <f>SUM(V3:V4)</f>
        <v>0</v>
      </c>
    </row>
    <row r="6" spans="1:23" x14ac:dyDescent="0.25">
      <c r="A6" s="401"/>
      <c r="B6" s="400" t="s">
        <v>35</v>
      </c>
      <c r="C6" t="s">
        <v>433</v>
      </c>
      <c r="D6" t="s">
        <v>432</v>
      </c>
      <c r="E6" s="429">
        <v>523000</v>
      </c>
      <c r="F6" s="428">
        <v>0</v>
      </c>
      <c r="G6" s="428">
        <v>-523000</v>
      </c>
      <c r="H6" s="427">
        <v>-1</v>
      </c>
      <c r="I6" s="426">
        <v>607000</v>
      </c>
      <c r="J6" s="425">
        <v>607000</v>
      </c>
      <c r="K6" s="425">
        <v>0</v>
      </c>
      <c r="L6" s="424">
        <v>0</v>
      </c>
      <c r="M6" s="423">
        <v>687000</v>
      </c>
      <c r="N6" s="422">
        <v>687000</v>
      </c>
      <c r="O6" s="422">
        <v>0</v>
      </c>
      <c r="P6" s="421">
        <v>0</v>
      </c>
      <c r="Q6" s="420">
        <v>761000</v>
      </c>
      <c r="R6" s="419">
        <v>0</v>
      </c>
      <c r="S6" s="419">
        <v>-761000</v>
      </c>
      <c r="T6" s="418">
        <v>-1</v>
      </c>
      <c r="U6" s="417">
        <v>828000</v>
      </c>
      <c r="V6" s="416">
        <v>888000</v>
      </c>
    </row>
    <row r="7" spans="1:23" x14ac:dyDescent="0.25">
      <c r="A7" s="401"/>
      <c r="B7" s="400"/>
      <c r="C7" t="s">
        <v>431</v>
      </c>
      <c r="D7" t="s">
        <v>430</v>
      </c>
      <c r="E7" s="415">
        <v>36512</v>
      </c>
      <c r="F7" s="414">
        <v>36512</v>
      </c>
      <c r="G7" s="414">
        <v>0</v>
      </c>
      <c r="H7" s="413">
        <v>0</v>
      </c>
      <c r="I7" s="412">
        <v>37425</v>
      </c>
      <c r="J7" s="411">
        <v>37425</v>
      </c>
      <c r="K7" s="411">
        <v>0</v>
      </c>
      <c r="L7" s="410">
        <v>0</v>
      </c>
      <c r="M7" s="409">
        <v>38361</v>
      </c>
      <c r="N7" s="408">
        <v>38361</v>
      </c>
      <c r="O7" s="408">
        <v>0</v>
      </c>
      <c r="P7" s="407">
        <v>0</v>
      </c>
      <c r="Q7" s="406">
        <v>39320</v>
      </c>
      <c r="R7" s="405">
        <v>0</v>
      </c>
      <c r="S7" s="405">
        <v>-39320</v>
      </c>
      <c r="T7" s="404">
        <v>-1</v>
      </c>
      <c r="U7" s="403">
        <v>40303</v>
      </c>
      <c r="V7" s="402">
        <v>41310</v>
      </c>
    </row>
    <row r="8" spans="1:23" ht="15.75" thickBot="1" x14ac:dyDescent="0.3">
      <c r="A8" s="401"/>
      <c r="B8" s="400"/>
      <c r="C8" s="399" t="s">
        <v>60</v>
      </c>
      <c r="D8" s="399"/>
      <c r="E8" s="398">
        <f>SUM(E6:E7)</f>
        <v>559512</v>
      </c>
      <c r="F8" s="397">
        <f>SUM(F6:F7)</f>
        <v>36512</v>
      </c>
      <c r="G8" s="397">
        <f>SUM(G6:G7)</f>
        <v>-523000</v>
      </c>
      <c r="H8" s="396">
        <f>SUM(H6:H7)</f>
        <v>-1</v>
      </c>
      <c r="I8" s="395">
        <f>SUM(I6:I7)</f>
        <v>644425</v>
      </c>
      <c r="J8" s="394">
        <f>SUM(J6:J7)</f>
        <v>644425</v>
      </c>
      <c r="K8" s="394">
        <f>SUM(K6:K7)</f>
        <v>0</v>
      </c>
      <c r="L8" s="393">
        <f>SUM(L6:L7)</f>
        <v>0</v>
      </c>
      <c r="M8" s="392">
        <f>SUM(M6:M7)</f>
        <v>725361</v>
      </c>
      <c r="N8" s="391">
        <f>SUM(N6:N7)</f>
        <v>725361</v>
      </c>
      <c r="O8" s="391">
        <f>SUM(O6:O7)</f>
        <v>0</v>
      </c>
      <c r="P8" s="390">
        <f>SUM(P6:P7)</f>
        <v>0</v>
      </c>
      <c r="Q8" s="389">
        <f>SUM(Q6:Q7)</f>
        <v>800320</v>
      </c>
      <c r="R8" s="388">
        <f>SUM(R6:R7)</f>
        <v>0</v>
      </c>
      <c r="S8" s="388">
        <f>SUM(S6:S7)</f>
        <v>-800320</v>
      </c>
      <c r="T8" s="387">
        <v>-1</v>
      </c>
      <c r="U8" s="386">
        <f>SUM(U6:U7)</f>
        <v>868303</v>
      </c>
      <c r="V8" s="385">
        <f>SUM(V6:V7)</f>
        <v>929310</v>
      </c>
    </row>
  </sheetData>
  <sheetProtection algorithmName="SHA-512" hashValue="cXLxODhWVZaYj6ODzvUWHMAUqHwB+rJs+QIaX9DGbIUe8Y2jY/y2f+HwiTpKtqlSsbqAxNZOjcV8Q5s3F5u8cg==" saltValue="A4WhVjDPM4WGuRKFHeocjA==" spinCount="100000" sheet="1" objects="1" scenarios="1"/>
  <mergeCells count="5">
    <mergeCell ref="C8:D8"/>
    <mergeCell ref="B6:B8"/>
    <mergeCell ref="A3:A8"/>
    <mergeCell ref="C5:D5"/>
    <mergeCell ref="B3:B5"/>
  </mergeCells>
  <pageMargins left="0.7" right="0.7" top="0.75" bottom="0.75" header="0.3" footer="0.3"/>
  <pageSetup paperSize="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2FB6-C199-41C3-9591-CDD723A15A0C}">
  <dimension ref="A2:D4"/>
  <sheetViews>
    <sheetView workbookViewId="0">
      <selection activeCell="L21" sqref="L21"/>
    </sheetView>
  </sheetViews>
  <sheetFormatPr defaultRowHeight="16.5" x14ac:dyDescent="0.3"/>
  <cols>
    <col min="1" max="1" width="33" style="102" customWidth="1"/>
    <col min="2" max="2" width="14.7109375" style="102" customWidth="1"/>
    <col min="3" max="3" width="42.28515625" style="102" customWidth="1"/>
    <col min="4" max="4" width="48.85546875" style="102" customWidth="1"/>
    <col min="5" max="16384" width="9.140625" style="102"/>
  </cols>
  <sheetData>
    <row r="2" spans="1:4" x14ac:dyDescent="0.3">
      <c r="A2" s="149" t="s">
        <v>8</v>
      </c>
      <c r="B2" s="149" t="s">
        <v>9</v>
      </c>
      <c r="C2" s="148" t="s">
        <v>104</v>
      </c>
      <c r="D2" s="148" t="s">
        <v>103</v>
      </c>
    </row>
    <row r="3" spans="1:4" ht="82.5" x14ac:dyDescent="0.3">
      <c r="A3" s="148" t="s">
        <v>97</v>
      </c>
      <c r="B3" s="148" t="s">
        <v>96</v>
      </c>
      <c r="C3" s="4" t="s">
        <v>102</v>
      </c>
      <c r="D3" s="147" t="s">
        <v>101</v>
      </c>
    </row>
    <row r="4" spans="1:4" ht="82.5" x14ac:dyDescent="0.3">
      <c r="A4" s="148" t="s">
        <v>95</v>
      </c>
      <c r="B4" s="148" t="s">
        <v>94</v>
      </c>
      <c r="C4" s="147" t="s">
        <v>100</v>
      </c>
      <c r="D4" s="147" t="s">
        <v>99</v>
      </c>
    </row>
  </sheetData>
  <sheetProtection algorithmName="SHA-512" hashValue="AXVbsA5CGL4peRoFAuMdpwYTZgL8CFZ+QXtoDsIUfS50m7fu4wkgcfIsj9oeOIIXjYVIpnfV0KfUZ5ZM4IPhpg==" saltValue="lS9Njkn3BiY7wA0ZebyfMg==" spinCount="10000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64B6F-D02E-403B-8CF5-FAFB66A6800F}">
  <dimension ref="A1:D4"/>
  <sheetViews>
    <sheetView tabSelected="1" workbookViewId="0">
      <selection activeCell="L21" sqref="L21"/>
    </sheetView>
  </sheetViews>
  <sheetFormatPr defaultRowHeight="15" x14ac:dyDescent="0.25"/>
  <cols>
    <col min="2" max="2" width="11.28515625" customWidth="1"/>
    <col min="3" max="3" width="39.85546875" customWidth="1"/>
    <col min="4" max="4" width="54" customWidth="1"/>
  </cols>
  <sheetData>
    <row r="1" spans="1:4" ht="19.5" thickBot="1" x14ac:dyDescent="0.3">
      <c r="A1" s="384" t="s">
        <v>442</v>
      </c>
      <c r="B1" s="384"/>
      <c r="C1" s="384"/>
      <c r="D1" s="384"/>
    </row>
    <row r="2" spans="1:4" ht="16.5" thickBot="1" x14ac:dyDescent="0.3">
      <c r="A2" s="382" t="s">
        <v>8</v>
      </c>
      <c r="B2" s="382" t="s">
        <v>9</v>
      </c>
      <c r="C2" s="383" t="s">
        <v>93</v>
      </c>
      <c r="D2" s="382" t="s">
        <v>63</v>
      </c>
    </row>
    <row r="3" spans="1:4" ht="30" x14ac:dyDescent="0.25">
      <c r="A3" s="381" t="s">
        <v>437</v>
      </c>
      <c r="B3" s="380" t="s">
        <v>436</v>
      </c>
      <c r="C3" s="475" t="s">
        <v>441</v>
      </c>
      <c r="D3" s="375"/>
    </row>
    <row r="4" spans="1:4" ht="30.75" thickBot="1" x14ac:dyDescent="0.3">
      <c r="A4" s="378" t="s">
        <v>435</v>
      </c>
      <c r="B4" s="377" t="s">
        <v>434</v>
      </c>
      <c r="C4" s="474" t="s">
        <v>440</v>
      </c>
      <c r="D4" s="473" t="s">
        <v>439</v>
      </c>
    </row>
  </sheetData>
  <sheetProtection algorithmName="SHA-512" hashValue="HvIFMcLZ2vrxCTVGrTUGzpRGiCJpxPFL0ehTG674xNn4LWSe+54BYRnTBYlAuwRkPuAGwK6CgQ1UfGA4eu2tSw==" saltValue="cqNO8HjDEfsQD6YqRGgXIg==" spinCount="100000" sheet="1" objects="1" scenarios="1"/>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C1331-0D9B-403B-80AE-B5653C56729B}">
  <dimension ref="A1:K11"/>
  <sheetViews>
    <sheetView workbookViewId="0">
      <selection activeCell="L21" sqref="L21"/>
    </sheetView>
  </sheetViews>
  <sheetFormatPr defaultColWidth="16.5703125" defaultRowHeight="15" x14ac:dyDescent="0.25"/>
  <cols>
    <col min="1" max="1" width="44" style="49" customWidth="1"/>
    <col min="2" max="2" width="16.5703125" style="49"/>
    <col min="3" max="11" width="13.85546875" style="49" customWidth="1"/>
    <col min="12" max="16384" width="16.5703125" style="49"/>
  </cols>
  <sheetData>
    <row r="1" spans="1:11" ht="28.5" customHeight="1" thickBot="1" x14ac:dyDescent="0.3">
      <c r="A1" s="83" t="s">
        <v>86</v>
      </c>
      <c r="B1" s="83"/>
      <c r="C1" s="83"/>
      <c r="D1" s="83"/>
      <c r="E1" s="83"/>
      <c r="F1" s="83"/>
      <c r="G1" s="83"/>
      <c r="H1" s="83"/>
      <c r="I1" s="83"/>
      <c r="J1" s="83"/>
      <c r="K1" s="83"/>
    </row>
    <row r="2" spans="1:11" ht="48" thickBot="1" x14ac:dyDescent="0.3">
      <c r="A2" s="82" t="s">
        <v>8</v>
      </c>
      <c r="B2" s="82" t="s">
        <v>9</v>
      </c>
      <c r="C2" s="81" t="s">
        <v>85</v>
      </c>
      <c r="D2" s="80" t="s">
        <v>84</v>
      </c>
      <c r="E2" s="80" t="s">
        <v>83</v>
      </c>
      <c r="F2" s="79" t="s">
        <v>82</v>
      </c>
      <c r="G2" s="78" t="s">
        <v>81</v>
      </c>
      <c r="H2" s="77" t="s">
        <v>80</v>
      </c>
      <c r="I2" s="77" t="s">
        <v>79</v>
      </c>
      <c r="J2" s="76" t="s">
        <v>78</v>
      </c>
      <c r="K2" s="76" t="s">
        <v>77</v>
      </c>
    </row>
    <row r="3" spans="1:11" ht="18" customHeight="1" x14ac:dyDescent="0.25">
      <c r="A3" s="75" t="s">
        <v>76</v>
      </c>
      <c r="B3" s="74" t="s">
        <v>75</v>
      </c>
      <c r="C3" s="73">
        <v>76049433</v>
      </c>
      <c r="D3" s="73">
        <v>3610888.9400000004</v>
      </c>
      <c r="E3" s="73">
        <v>72438544.060000002</v>
      </c>
      <c r="F3" s="72">
        <v>12604230</v>
      </c>
      <c r="G3" s="71" t="s">
        <v>68</v>
      </c>
      <c r="H3" s="70">
        <f>D3-C3</f>
        <v>-72438544.060000002</v>
      </c>
      <c r="I3" s="69">
        <f>(D3-C3)/C3</f>
        <v>-0.95251918656645351</v>
      </c>
      <c r="J3" s="68">
        <v>0</v>
      </c>
      <c r="K3" s="68">
        <v>0</v>
      </c>
    </row>
    <row r="4" spans="1:11" ht="18" customHeight="1" x14ac:dyDescent="0.25">
      <c r="A4" s="66" t="s">
        <v>74</v>
      </c>
      <c r="B4" s="65" t="s">
        <v>73</v>
      </c>
      <c r="C4" s="64">
        <v>27508861</v>
      </c>
      <c r="D4" s="64">
        <v>21179341</v>
      </c>
      <c r="E4" s="64">
        <v>6329520</v>
      </c>
      <c r="F4" s="67">
        <v>10000000</v>
      </c>
      <c r="G4" s="62" t="s">
        <v>2</v>
      </c>
      <c r="H4" s="61">
        <f>D4-C4</f>
        <v>-6329520</v>
      </c>
      <c r="I4" s="60">
        <f>(D4-C4)/C4</f>
        <v>-0.23009022438260893</v>
      </c>
      <c r="J4" s="59">
        <v>5000000</v>
      </c>
      <c r="K4" s="59">
        <v>60000000</v>
      </c>
    </row>
    <row r="5" spans="1:11" ht="18" customHeight="1" x14ac:dyDescent="0.25">
      <c r="A5" s="66" t="s">
        <v>72</v>
      </c>
      <c r="B5" s="65" t="s">
        <v>71</v>
      </c>
      <c r="C5" s="64">
        <v>4246465.51</v>
      </c>
      <c r="D5" s="64">
        <v>1155929.8700000001</v>
      </c>
      <c r="E5" s="64">
        <v>3090535.6399999997</v>
      </c>
      <c r="F5" s="63">
        <v>676000</v>
      </c>
      <c r="G5" s="62" t="s">
        <v>68</v>
      </c>
      <c r="H5" s="61">
        <f>D5-C5</f>
        <v>-3090535.6399999997</v>
      </c>
      <c r="I5" s="60">
        <f>(D5-C5)/C5</f>
        <v>-0.72779011927027282</v>
      </c>
      <c r="J5" s="59">
        <v>208000</v>
      </c>
      <c r="K5" s="59">
        <v>216000</v>
      </c>
    </row>
    <row r="6" spans="1:11" ht="18" customHeight="1" thickBot="1" x14ac:dyDescent="0.3">
      <c r="A6" s="58" t="s">
        <v>70</v>
      </c>
      <c r="B6" s="57" t="s">
        <v>69</v>
      </c>
      <c r="C6" s="56">
        <v>262000</v>
      </c>
      <c r="D6" s="56">
        <v>0</v>
      </c>
      <c r="E6" s="56">
        <v>262000</v>
      </c>
      <c r="F6" s="55">
        <v>262000</v>
      </c>
      <c r="G6" s="54" t="s">
        <v>68</v>
      </c>
      <c r="H6" s="53">
        <f>D6-C6</f>
        <v>-262000</v>
      </c>
      <c r="I6" s="52">
        <f>(D6-C6)/C6</f>
        <v>-1</v>
      </c>
      <c r="J6" s="51">
        <v>0</v>
      </c>
      <c r="K6" s="51">
        <v>0</v>
      </c>
    </row>
    <row r="11" spans="1:11" x14ac:dyDescent="0.25">
      <c r="A11" s="50"/>
    </row>
  </sheetData>
  <sheetProtection algorithmName="SHA-512" hashValue="TlciHRIZ9NYBM/p7pSdYZVz2rL5lsRIQIRn+t1oRhJqT6nx8g94+CjFulKghe0RFNFR8cHC3aJ9w/7ySQ1n4Ww==" saltValue="MAnh+W7hBW+6W8RsrwQvfw==" spinCount="100000" sheet="1" objects="1" scenarios="1"/>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B582-B5E0-4A24-A580-29D24D281D1E}">
  <dimension ref="A1:M5"/>
  <sheetViews>
    <sheetView workbookViewId="0">
      <selection activeCell="L21" sqref="L21"/>
    </sheetView>
  </sheetViews>
  <sheetFormatPr defaultRowHeight="15" x14ac:dyDescent="0.25"/>
  <cols>
    <col min="1" max="1" width="45.5703125" customWidth="1"/>
    <col min="2" max="2" width="11.5703125" customWidth="1"/>
    <col min="3" max="4" width="56.5703125" customWidth="1"/>
  </cols>
  <sheetData>
    <row r="1" spans="1:13" ht="19.5" thickBot="1" x14ac:dyDescent="0.3">
      <c r="A1" s="101" t="s">
        <v>86</v>
      </c>
      <c r="B1" s="101"/>
      <c r="C1" s="101"/>
      <c r="D1" s="101"/>
      <c r="E1" s="100"/>
      <c r="F1" s="100"/>
      <c r="G1" s="100"/>
      <c r="H1" s="100"/>
      <c r="I1" s="100"/>
      <c r="J1" s="100"/>
      <c r="K1" s="100"/>
      <c r="L1" s="100"/>
      <c r="M1" s="99"/>
    </row>
    <row r="2" spans="1:13" ht="36" customHeight="1" thickBot="1" x14ac:dyDescent="0.3">
      <c r="A2" s="98" t="s">
        <v>8</v>
      </c>
      <c r="B2" s="98" t="s">
        <v>9</v>
      </c>
      <c r="C2" s="97" t="s">
        <v>93</v>
      </c>
      <c r="D2" s="96" t="s">
        <v>63</v>
      </c>
    </row>
    <row r="3" spans="1:13" ht="45" x14ac:dyDescent="0.25">
      <c r="A3" s="95" t="s">
        <v>76</v>
      </c>
      <c r="B3" s="94" t="s">
        <v>75</v>
      </c>
      <c r="C3" s="93" t="s">
        <v>92</v>
      </c>
      <c r="D3" s="92" t="s">
        <v>91</v>
      </c>
    </row>
    <row r="4" spans="1:13" ht="135" x14ac:dyDescent="0.25">
      <c r="A4" s="91" t="s">
        <v>74</v>
      </c>
      <c r="B4" s="90" t="s">
        <v>73</v>
      </c>
      <c r="C4" s="89" t="s">
        <v>90</v>
      </c>
      <c r="D4" s="88" t="s">
        <v>89</v>
      </c>
    </row>
    <row r="5" spans="1:13" ht="45.75" thickBot="1" x14ac:dyDescent="0.3">
      <c r="A5" s="87" t="s">
        <v>70</v>
      </c>
      <c r="B5" s="86" t="s">
        <v>69</v>
      </c>
      <c r="C5" s="85" t="s">
        <v>88</v>
      </c>
      <c r="D5" s="84" t="s">
        <v>87</v>
      </c>
    </row>
  </sheetData>
  <sheetProtection algorithmName="SHA-512" hashValue="KezxJnV6eUeghdJ8wUK9gRhCcLdTPszeD4t0FfPKemzvnfWYJe1WADgtGaI0Y723X4lCaRXYIeOQFGKzgbHB1Q==" saltValue="G21AyiMxqgqL8lUS+Uwqd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3F75C-0286-487C-B596-67C416ACEB6A}">
  <dimension ref="A1:V52"/>
  <sheetViews>
    <sheetView workbookViewId="0">
      <selection activeCell="L21" sqref="L21"/>
    </sheetView>
  </sheetViews>
  <sheetFormatPr defaultRowHeight="15" x14ac:dyDescent="0.25"/>
  <cols>
    <col min="1" max="1" width="9.140625" customWidth="1"/>
    <col min="2" max="2" width="26.42578125" customWidth="1"/>
    <col min="3" max="3" width="40.5703125" customWidth="1"/>
    <col min="4" max="4" width="12.5703125" customWidth="1"/>
    <col min="5" max="18" width="13.5703125" customWidth="1"/>
    <col min="19" max="19" width="15" customWidth="1"/>
    <col min="20" max="20" width="15.42578125" customWidth="1"/>
    <col min="21" max="22" width="12.5703125" customWidth="1"/>
  </cols>
  <sheetData>
    <row r="1" spans="1:22" ht="21" x14ac:dyDescent="0.35">
      <c r="A1" s="1"/>
      <c r="C1" s="1"/>
      <c r="D1" s="1"/>
      <c r="E1" s="45" t="s">
        <v>0</v>
      </c>
      <c r="F1" s="45"/>
      <c r="G1" s="45"/>
      <c r="H1" s="44"/>
      <c r="I1" s="43" t="s">
        <v>1</v>
      </c>
      <c r="J1" s="43"/>
      <c r="K1" s="43"/>
      <c r="L1" s="42"/>
      <c r="M1" s="41" t="s">
        <v>2</v>
      </c>
      <c r="N1" s="41"/>
      <c r="O1" s="41"/>
      <c r="P1" s="40"/>
      <c r="Q1" s="39" t="s">
        <v>3</v>
      </c>
      <c r="R1" s="39"/>
      <c r="S1" s="39"/>
      <c r="T1" s="38"/>
      <c r="U1" s="37" t="s">
        <v>4</v>
      </c>
      <c r="V1" s="36" t="s">
        <v>5</v>
      </c>
    </row>
    <row r="2" spans="1:22" ht="15.75" x14ac:dyDescent="0.25">
      <c r="A2" s="2" t="s">
        <v>6</v>
      </c>
      <c r="B2" s="2" t="s">
        <v>7</v>
      </c>
      <c r="C2" s="2" t="s">
        <v>8</v>
      </c>
      <c r="D2" s="2" t="s">
        <v>9</v>
      </c>
      <c r="E2" s="35" t="s">
        <v>10</v>
      </c>
      <c r="F2" s="35" t="s">
        <v>11</v>
      </c>
      <c r="G2" s="35" t="s">
        <v>12</v>
      </c>
      <c r="H2" s="34" t="s">
        <v>13</v>
      </c>
      <c r="I2" s="33" t="s">
        <v>10</v>
      </c>
      <c r="J2" s="33" t="s">
        <v>11</v>
      </c>
      <c r="K2" s="33" t="s">
        <v>12</v>
      </c>
      <c r="L2" s="32" t="s">
        <v>13</v>
      </c>
      <c r="M2" s="31" t="s">
        <v>10</v>
      </c>
      <c r="N2" s="31" t="s">
        <v>11</v>
      </c>
      <c r="O2" s="31" t="s">
        <v>12</v>
      </c>
      <c r="P2" s="30" t="s">
        <v>13</v>
      </c>
      <c r="Q2" s="29" t="s">
        <v>10</v>
      </c>
      <c r="R2" s="29" t="s">
        <v>11</v>
      </c>
      <c r="S2" s="29" t="s">
        <v>14</v>
      </c>
      <c r="T2" s="28" t="s">
        <v>15</v>
      </c>
      <c r="U2" s="27" t="s">
        <v>10</v>
      </c>
      <c r="V2" s="26" t="s">
        <v>10</v>
      </c>
    </row>
    <row r="3" spans="1:22" x14ac:dyDescent="0.25">
      <c r="A3" s="47" t="s">
        <v>16</v>
      </c>
      <c r="B3" s="48" t="s">
        <v>17</v>
      </c>
      <c r="C3" s="1" t="s">
        <v>18</v>
      </c>
      <c r="D3" s="1" t="s">
        <v>19</v>
      </c>
      <c r="E3" s="25">
        <v>126073</v>
      </c>
      <c r="F3" s="25">
        <v>122788.67</v>
      </c>
      <c r="G3" s="25">
        <v>-3284.3300000000017</v>
      </c>
      <c r="H3" s="24">
        <v>-2.6051018060964694E-2</v>
      </c>
      <c r="I3" s="23">
        <v>165000</v>
      </c>
      <c r="J3" s="23">
        <v>153191.24</v>
      </c>
      <c r="K3" s="23">
        <v>-11808.760000000009</v>
      </c>
      <c r="L3" s="22">
        <v>-7.1568242424242479E-2</v>
      </c>
      <c r="M3" s="21">
        <v>169124.99999999997</v>
      </c>
      <c r="N3" s="21">
        <v>166750.35999999999</v>
      </c>
      <c r="O3" s="21">
        <v>-2374.6399999999849</v>
      </c>
      <c r="P3" s="20">
        <v>-1.4040739098299986E-2</v>
      </c>
      <c r="Q3" s="19">
        <v>176736</v>
      </c>
      <c r="R3" s="19">
        <v>149012.64000000001</v>
      </c>
      <c r="S3" s="19">
        <f t="shared" ref="S3:S9" si="0">(R3-Q3)*0.75</f>
        <v>-20792.51999999999</v>
      </c>
      <c r="T3" s="18">
        <f t="shared" ref="T3:T8" si="1">(R3-(Q3*0.75))/(Q3*0.75)</f>
        <v>0.12418250950570353</v>
      </c>
      <c r="U3" s="17">
        <v>181154.4</v>
      </c>
      <c r="V3" s="16">
        <v>185683.25999999998</v>
      </c>
    </row>
    <row r="4" spans="1:22" x14ac:dyDescent="0.25">
      <c r="A4" s="47"/>
      <c r="B4" s="48"/>
      <c r="C4" s="1" t="s">
        <v>21</v>
      </c>
      <c r="D4" s="1" t="s">
        <v>22</v>
      </c>
      <c r="E4" s="25">
        <v>115000</v>
      </c>
      <c r="F4" s="25">
        <v>84168.68</v>
      </c>
      <c r="G4" s="25">
        <v>-30831.320000000007</v>
      </c>
      <c r="H4" s="24">
        <v>-0.26809843478260875</v>
      </c>
      <c r="I4" s="23">
        <v>126500</v>
      </c>
      <c r="J4" s="23">
        <v>118375.03999999999</v>
      </c>
      <c r="K4" s="23">
        <v>-8124.9600000000064</v>
      </c>
      <c r="L4" s="22">
        <v>-6.4228932806324163E-2</v>
      </c>
      <c r="M4" s="21">
        <v>129662.49999999999</v>
      </c>
      <c r="N4" s="21">
        <v>128852.54999999999</v>
      </c>
      <c r="O4" s="21">
        <v>-809.94999999999709</v>
      </c>
      <c r="P4" s="20">
        <v>-6.246601754555073E-3</v>
      </c>
      <c r="Q4" s="19">
        <v>135498</v>
      </c>
      <c r="R4" s="19">
        <v>134111.37</v>
      </c>
      <c r="S4" s="19">
        <f t="shared" si="0"/>
        <v>-1039.9725000000035</v>
      </c>
      <c r="T4" s="18">
        <f t="shared" si="1"/>
        <v>0.31968855628865367</v>
      </c>
      <c r="U4" s="17">
        <v>138885.44999999998</v>
      </c>
      <c r="V4" s="16">
        <v>142357.58624999996</v>
      </c>
    </row>
    <row r="5" spans="1:22" x14ac:dyDescent="0.25">
      <c r="A5" s="47"/>
      <c r="B5" s="48"/>
      <c r="C5" s="1" t="s">
        <v>23</v>
      </c>
      <c r="D5" s="1" t="s">
        <v>24</v>
      </c>
      <c r="E5" s="25">
        <v>115000</v>
      </c>
      <c r="F5" s="25">
        <v>85448.97</v>
      </c>
      <c r="G5" s="25">
        <v>-29551.03</v>
      </c>
      <c r="H5" s="24">
        <v>-0.25696547826086957</v>
      </c>
      <c r="I5" s="23">
        <v>137250</v>
      </c>
      <c r="J5" s="23">
        <v>125338.28</v>
      </c>
      <c r="K5" s="23">
        <v>-11911.720000000001</v>
      </c>
      <c r="L5" s="22">
        <v>-8.6788488160291444E-2</v>
      </c>
      <c r="M5" s="21">
        <v>118030.24</v>
      </c>
      <c r="N5" s="21">
        <v>106113.86000000002</v>
      </c>
      <c r="O5" s="21">
        <v>-11916.37999999999</v>
      </c>
      <c r="P5" s="20">
        <v>-0.10096039794547558</v>
      </c>
      <c r="Q5" s="19">
        <v>147012</v>
      </c>
      <c r="R5" s="19">
        <v>126660.74</v>
      </c>
      <c r="S5" s="19">
        <f t="shared" si="0"/>
        <v>-15263.444999999996</v>
      </c>
      <c r="T5" s="18">
        <f t="shared" si="1"/>
        <v>0.14875647339446219</v>
      </c>
      <c r="U5" s="17">
        <v>150687.29999999999</v>
      </c>
      <c r="V5" s="16">
        <v>154454.48249999998</v>
      </c>
    </row>
    <row r="6" spans="1:22" x14ac:dyDescent="0.25">
      <c r="A6" s="47"/>
      <c r="B6" s="48"/>
      <c r="C6" s="1" t="s">
        <v>25</v>
      </c>
      <c r="D6" s="1" t="s">
        <v>26</v>
      </c>
      <c r="E6" s="25">
        <v>70000</v>
      </c>
      <c r="F6" s="25">
        <v>67334.94</v>
      </c>
      <c r="G6" s="25">
        <v>-2665.0599999999977</v>
      </c>
      <c r="H6" s="24">
        <v>-3.8072285714285684E-2</v>
      </c>
      <c r="I6" s="23">
        <v>80000</v>
      </c>
      <c r="J6" s="23">
        <v>76595.62</v>
      </c>
      <c r="K6" s="23">
        <v>-3404.3800000000047</v>
      </c>
      <c r="L6" s="22">
        <v>-4.2554750000000058E-2</v>
      </c>
      <c r="M6" s="21">
        <v>82000</v>
      </c>
      <c r="N6" s="21">
        <v>75795.62</v>
      </c>
      <c r="O6" s="21">
        <v>-6204.3800000000047</v>
      </c>
      <c r="P6" s="20">
        <v>-7.5663170731707377E-2</v>
      </c>
      <c r="Q6" s="19">
        <v>85690</v>
      </c>
      <c r="R6" s="19">
        <v>74506.320000000007</v>
      </c>
      <c r="S6" s="19">
        <f t="shared" si="0"/>
        <v>-8387.7599999999948</v>
      </c>
      <c r="T6" s="18">
        <f t="shared" si="1"/>
        <v>0.15931567277395273</v>
      </c>
      <c r="U6" s="17">
        <v>87832.249999999985</v>
      </c>
      <c r="V6" s="16">
        <v>90028.05624999998</v>
      </c>
    </row>
    <row r="7" spans="1:22" x14ac:dyDescent="0.25">
      <c r="A7" s="47"/>
      <c r="B7" s="48"/>
      <c r="C7" s="1" t="s">
        <v>27</v>
      </c>
      <c r="D7" s="1" t="s">
        <v>28</v>
      </c>
      <c r="E7" s="25">
        <v>138375</v>
      </c>
      <c r="F7" s="25">
        <v>0</v>
      </c>
      <c r="G7" s="25">
        <v>-138375</v>
      </c>
      <c r="H7" s="24">
        <v>-1</v>
      </c>
      <c r="I7" s="23">
        <v>105233.39000000001</v>
      </c>
      <c r="J7" s="23">
        <v>91247.54</v>
      </c>
      <c r="K7" s="23">
        <v>-13985.85000000002</v>
      </c>
      <c r="L7" s="22">
        <v>-0.13290315934894825</v>
      </c>
      <c r="M7" s="21">
        <v>145380.23000000001</v>
      </c>
      <c r="N7" s="21">
        <v>146308.43</v>
      </c>
      <c r="O7" s="21">
        <v>928.19999999998254</v>
      </c>
      <c r="P7" s="20">
        <v>6.3846370307708445E-3</v>
      </c>
      <c r="Q7" s="19">
        <v>151922</v>
      </c>
      <c r="R7" s="19">
        <v>133356.82999999999</v>
      </c>
      <c r="S7" s="19">
        <f t="shared" si="0"/>
        <v>-13923.87750000001</v>
      </c>
      <c r="T7" s="18">
        <f t="shared" si="1"/>
        <v>0.17039735302765005</v>
      </c>
      <c r="U7" s="17">
        <v>155720.04999999999</v>
      </c>
      <c r="V7" s="16">
        <v>159613.05124999996</v>
      </c>
    </row>
    <row r="8" spans="1:22" x14ac:dyDescent="0.25">
      <c r="A8" s="47"/>
      <c r="B8" s="48"/>
      <c r="C8" s="1" t="s">
        <v>29</v>
      </c>
      <c r="D8" s="1" t="s">
        <v>30</v>
      </c>
      <c r="E8" s="25">
        <v>135000</v>
      </c>
      <c r="F8" s="25">
        <v>0</v>
      </c>
      <c r="G8" s="25">
        <v>-135000</v>
      </c>
      <c r="H8" s="24">
        <v>-1</v>
      </c>
      <c r="I8" s="23">
        <v>145000</v>
      </c>
      <c r="J8" s="23">
        <v>132301.53</v>
      </c>
      <c r="K8" s="23">
        <v>-12698.470000000001</v>
      </c>
      <c r="L8" s="22">
        <v>-8.7575655172413808E-2</v>
      </c>
      <c r="M8" s="21">
        <v>148625</v>
      </c>
      <c r="N8" s="21">
        <v>138496.53999999998</v>
      </c>
      <c r="O8" s="21">
        <v>-10128.460000000021</v>
      </c>
      <c r="P8" s="20">
        <v>-6.8147754415475326E-2</v>
      </c>
      <c r="Q8" s="19">
        <v>155313</v>
      </c>
      <c r="R8" s="19">
        <v>134111.37</v>
      </c>
      <c r="S8" s="19">
        <f t="shared" si="0"/>
        <v>-15901.222500000003</v>
      </c>
      <c r="T8" s="18">
        <f t="shared" si="1"/>
        <v>0.15132126737620158</v>
      </c>
      <c r="U8" s="17">
        <v>159195.82499999998</v>
      </c>
      <c r="V8" s="16">
        <v>163175.72062499996</v>
      </c>
    </row>
    <row r="9" spans="1:22" x14ac:dyDescent="0.25">
      <c r="A9" s="47"/>
      <c r="B9" s="48"/>
      <c r="C9" s="1" t="s">
        <v>31</v>
      </c>
      <c r="D9" s="1" t="s">
        <v>32</v>
      </c>
      <c r="E9" s="25">
        <v>84863</v>
      </c>
      <c r="F9" s="25">
        <v>84862.38</v>
      </c>
      <c r="G9" s="25">
        <v>-0.61999999999534339</v>
      </c>
      <c r="H9" s="24">
        <v>-7.3058930275307661E-6</v>
      </c>
      <c r="I9" s="23">
        <v>103795.88999999998</v>
      </c>
      <c r="J9" s="23">
        <v>103795.89</v>
      </c>
      <c r="K9" s="23">
        <v>0</v>
      </c>
      <c r="L9" s="22">
        <v>0</v>
      </c>
      <c r="M9" s="21">
        <v>91525.01</v>
      </c>
      <c r="N9" s="21">
        <v>91525.010000000009</v>
      </c>
      <c r="O9" s="21">
        <v>0</v>
      </c>
      <c r="P9" s="20">
        <v>0</v>
      </c>
      <c r="Q9" s="19">
        <v>100000</v>
      </c>
      <c r="R9" s="19">
        <v>100000</v>
      </c>
      <c r="S9" s="19">
        <f t="shared" si="0"/>
        <v>0</v>
      </c>
      <c r="T9" s="18">
        <v>0</v>
      </c>
      <c r="U9" s="17">
        <v>102499.99999999999</v>
      </c>
      <c r="V9" s="16">
        <v>105062.49999999997</v>
      </c>
    </row>
    <row r="10" spans="1:22" x14ac:dyDescent="0.25">
      <c r="A10" s="47"/>
      <c r="C10" s="46" t="s">
        <v>34</v>
      </c>
      <c r="D10" s="46"/>
      <c r="E10" s="15">
        <f>SUM(E3:E9)</f>
        <v>784311</v>
      </c>
      <c r="F10" s="15">
        <f>SUM(F3:F9)</f>
        <v>444603.63999999996</v>
      </c>
      <c r="G10" s="15">
        <f>SUM(G3:G9)</f>
        <v>-339707.36</v>
      </c>
      <c r="H10" s="14">
        <f>(F10/E10)-1</f>
        <v>-0.43312838912115226</v>
      </c>
      <c r="I10" s="13">
        <f>SUM(I3:I9)</f>
        <v>862779.28</v>
      </c>
      <c r="J10" s="13">
        <f>SUM(J3:J9)</f>
        <v>800845.14</v>
      </c>
      <c r="K10" s="13">
        <f>SUM(K3:K9)</f>
        <v>-61934.140000000043</v>
      </c>
      <c r="L10" s="12">
        <f>(J10/I10)-1</f>
        <v>-7.1784454536274911E-2</v>
      </c>
      <c r="M10" s="11">
        <f>SUM(M3:M9)</f>
        <v>884347.98</v>
      </c>
      <c r="N10" s="11">
        <f>SUM(N3:N9)</f>
        <v>853842.37000000011</v>
      </c>
      <c r="O10" s="11">
        <f>SUM(O3:O9)</f>
        <v>-30505.610000000015</v>
      </c>
      <c r="P10" s="10">
        <f>(N10/M10)-1</f>
        <v>-3.4495029886312256E-2</v>
      </c>
      <c r="Q10" s="9">
        <f>SUM(Q3:Q9)</f>
        <v>952171</v>
      </c>
      <c r="R10" s="9">
        <f>SUM(R3:R9)</f>
        <v>851759.27</v>
      </c>
      <c r="S10" s="9">
        <f>SUM(S3:S9)</f>
        <v>-75308.797499999986</v>
      </c>
      <c r="T10" s="8">
        <f>(R10/Q10)-1</f>
        <v>-0.10545556417912327</v>
      </c>
      <c r="U10" s="7">
        <f>SUM(U3:U9)</f>
        <v>975975.27499999991</v>
      </c>
      <c r="V10" s="6">
        <f>SUM(V3:V9)</f>
        <v>1000374.6568749998</v>
      </c>
    </row>
    <row r="11" spans="1:22" x14ac:dyDescent="0.25">
      <c r="A11" s="47"/>
      <c r="C11" s="1"/>
      <c r="D11" s="1"/>
      <c r="E11" s="25"/>
      <c r="F11" s="25"/>
      <c r="G11" s="25"/>
      <c r="H11" s="24"/>
      <c r="I11" s="23"/>
      <c r="J11" s="23"/>
      <c r="K11" s="23"/>
      <c r="L11" s="22"/>
      <c r="M11" s="21"/>
      <c r="N11" s="21"/>
      <c r="O11" s="21"/>
      <c r="P11" s="20"/>
      <c r="Q11" s="19"/>
      <c r="R11" s="19"/>
      <c r="S11" s="19"/>
      <c r="T11" s="18"/>
      <c r="U11" s="17"/>
      <c r="V11" s="16"/>
    </row>
    <row r="12" spans="1:22" x14ac:dyDescent="0.25">
      <c r="A12" s="47"/>
      <c r="B12" s="48" t="s">
        <v>35</v>
      </c>
      <c r="C12" s="1" t="s">
        <v>36</v>
      </c>
      <c r="D12" s="1" t="s">
        <v>37</v>
      </c>
      <c r="E12" s="25">
        <v>421855</v>
      </c>
      <c r="F12" s="25">
        <v>421854.82</v>
      </c>
      <c r="G12" s="25">
        <v>-0.17999999999301508</v>
      </c>
      <c r="H12" s="24">
        <v>-4.2668689476956556E-7</v>
      </c>
      <c r="I12" s="23">
        <v>423801.03</v>
      </c>
      <c r="J12" s="23">
        <v>423246.97</v>
      </c>
      <c r="K12" s="23">
        <v>-554.06000000005588</v>
      </c>
      <c r="L12" s="22">
        <v>-1.3073587857963815E-3</v>
      </c>
      <c r="M12" s="21">
        <v>487414.13</v>
      </c>
      <c r="N12" s="21">
        <v>422305.81</v>
      </c>
      <c r="O12" s="21">
        <v>-65108.320000000007</v>
      </c>
      <c r="P12" s="20">
        <v>-0.13357905729979558</v>
      </c>
      <c r="Q12" s="19">
        <v>609785</v>
      </c>
      <c r="R12" s="19">
        <v>375421.77</v>
      </c>
      <c r="S12" s="19">
        <f t="shared" ref="S12:S22" si="2">(R12-Q12)*0.75</f>
        <v>-175772.42249999999</v>
      </c>
      <c r="T12" s="18">
        <f t="shared" ref="T12:T21" si="3">(R12-(Q12*0.75))/(Q12*0.75)</f>
        <v>-0.17911663947128903</v>
      </c>
      <c r="U12" s="17">
        <v>625029.625</v>
      </c>
      <c r="V12" s="16">
        <v>640655.36562499998</v>
      </c>
    </row>
    <row r="13" spans="1:22" x14ac:dyDescent="0.25">
      <c r="A13" s="47"/>
      <c r="B13" s="48"/>
      <c r="C13" s="1" t="s">
        <v>38</v>
      </c>
      <c r="D13" s="1" t="s">
        <v>39</v>
      </c>
      <c r="E13" s="25">
        <v>440808</v>
      </c>
      <c r="F13" s="25">
        <v>440807.93</v>
      </c>
      <c r="G13" s="25">
        <v>-7.0000000006984919E-2</v>
      </c>
      <c r="H13" s="24">
        <v>-1.5879929585439674E-7</v>
      </c>
      <c r="I13" s="23">
        <v>477614</v>
      </c>
      <c r="J13" s="23">
        <v>477573.28</v>
      </c>
      <c r="K13" s="23">
        <v>-40.71999999997206</v>
      </c>
      <c r="L13" s="22">
        <v>-8.5257132328558335E-5</v>
      </c>
      <c r="M13" s="21">
        <v>586886.63</v>
      </c>
      <c r="N13" s="21">
        <v>537770.72</v>
      </c>
      <c r="O13" s="21">
        <v>-49115.910000000033</v>
      </c>
      <c r="P13" s="20">
        <v>-8.3688923020788578E-2</v>
      </c>
      <c r="Q13" s="19">
        <v>562132</v>
      </c>
      <c r="R13" s="19">
        <v>434909.12</v>
      </c>
      <c r="S13" s="19">
        <f t="shared" si="2"/>
        <v>-95417.16</v>
      </c>
      <c r="T13" s="18">
        <f t="shared" si="3"/>
        <v>3.1570568241385759E-2</v>
      </c>
      <c r="U13" s="17">
        <v>576185.29999999993</v>
      </c>
      <c r="V13" s="16">
        <v>590589.93249999988</v>
      </c>
    </row>
    <row r="14" spans="1:22" x14ac:dyDescent="0.25">
      <c r="A14" s="47"/>
      <c r="B14" s="48"/>
      <c r="C14" s="1" t="s">
        <v>41</v>
      </c>
      <c r="D14" s="1" t="s">
        <v>42</v>
      </c>
      <c r="E14" s="25">
        <v>940201</v>
      </c>
      <c r="F14" s="25">
        <v>885102.89</v>
      </c>
      <c r="G14" s="25">
        <v>-55098.109999999986</v>
      </c>
      <c r="H14" s="24">
        <v>-5.860247968253595E-2</v>
      </c>
      <c r="I14" s="23">
        <v>1137448.8700000001</v>
      </c>
      <c r="J14" s="23">
        <v>1137448.8799999999</v>
      </c>
      <c r="K14" s="23">
        <v>9.9999997764825821E-3</v>
      </c>
      <c r="L14" s="22">
        <v>8.7916037724689821E-9</v>
      </c>
      <c r="M14" s="21">
        <v>1068026.4000000001</v>
      </c>
      <c r="N14" s="21">
        <v>1007701.23</v>
      </c>
      <c r="O14" s="21">
        <v>-60325.170000000158</v>
      </c>
      <c r="P14" s="20">
        <v>-5.6482845367867449E-2</v>
      </c>
      <c r="Q14" s="19">
        <v>1058533</v>
      </c>
      <c r="R14" s="19">
        <v>815617.07</v>
      </c>
      <c r="S14" s="19">
        <f t="shared" si="2"/>
        <v>-182186.94750000004</v>
      </c>
      <c r="T14" s="18">
        <f t="shared" si="3"/>
        <v>2.7355242270828212E-2</v>
      </c>
      <c r="U14" s="17">
        <v>1084996.325</v>
      </c>
      <c r="V14" s="16">
        <v>1112121.2331249998</v>
      </c>
    </row>
    <row r="15" spans="1:22" x14ac:dyDescent="0.25">
      <c r="A15" s="47"/>
      <c r="B15" s="48"/>
      <c r="C15" s="1" t="s">
        <v>43</v>
      </c>
      <c r="D15" s="1" t="s">
        <v>44</v>
      </c>
      <c r="E15" s="25">
        <v>148038</v>
      </c>
      <c r="F15" s="25">
        <v>144803.66999999998</v>
      </c>
      <c r="G15" s="25">
        <v>-3234.3300000000163</v>
      </c>
      <c r="H15" s="24">
        <v>-2.1847971466785666E-2</v>
      </c>
      <c r="I15" s="23">
        <v>170820</v>
      </c>
      <c r="J15" s="23">
        <v>165558.45000000001</v>
      </c>
      <c r="K15" s="23">
        <v>-5261.5499999999884</v>
      </c>
      <c r="L15" s="22">
        <v>-3.0801721109940221E-2</v>
      </c>
      <c r="M15" s="21">
        <v>178506.9</v>
      </c>
      <c r="N15" s="21">
        <v>157089.62</v>
      </c>
      <c r="O15" s="21">
        <v>-21417.279999999999</v>
      </c>
      <c r="P15" s="20">
        <v>-0.119980124017615</v>
      </c>
      <c r="Q15" s="19">
        <v>242517</v>
      </c>
      <c r="R15" s="19">
        <v>127519.48</v>
      </c>
      <c r="S15" s="19">
        <f t="shared" si="2"/>
        <v>-86248.14</v>
      </c>
      <c r="T15" s="18">
        <f t="shared" si="3"/>
        <v>-0.29891111413495414</v>
      </c>
      <c r="U15" s="17">
        <v>0</v>
      </c>
      <c r="V15" s="16">
        <v>0</v>
      </c>
    </row>
    <row r="16" spans="1:22" x14ac:dyDescent="0.25">
      <c r="A16" s="47"/>
      <c r="B16" s="48"/>
      <c r="C16" s="1" t="s">
        <v>45</v>
      </c>
      <c r="D16" s="1" t="s">
        <v>46</v>
      </c>
      <c r="E16" s="25">
        <v>0</v>
      </c>
      <c r="F16" s="25">
        <v>0</v>
      </c>
      <c r="G16" s="25">
        <v>0</v>
      </c>
      <c r="H16" s="24">
        <v>0</v>
      </c>
      <c r="I16" s="23">
        <v>0</v>
      </c>
      <c r="J16" s="23">
        <v>0</v>
      </c>
      <c r="K16" s="23">
        <v>0</v>
      </c>
      <c r="L16" s="22">
        <v>0</v>
      </c>
      <c r="M16" s="21">
        <v>0</v>
      </c>
      <c r="N16" s="21">
        <v>0</v>
      </c>
      <c r="O16" s="21">
        <v>0</v>
      </c>
      <c r="P16" s="20">
        <v>0</v>
      </c>
      <c r="Q16" s="19">
        <v>806299</v>
      </c>
      <c r="R16" s="19">
        <v>0</v>
      </c>
      <c r="S16" s="19">
        <f t="shared" si="2"/>
        <v>-604724.25</v>
      </c>
      <c r="T16" s="18">
        <f t="shared" si="3"/>
        <v>-1</v>
      </c>
      <c r="U16" s="17">
        <v>1134530</v>
      </c>
      <c r="V16" s="16">
        <v>1162893.25</v>
      </c>
    </row>
    <row r="17" spans="1:22" x14ac:dyDescent="0.25">
      <c r="A17" s="47"/>
      <c r="B17" s="48"/>
      <c r="C17" s="1" t="s">
        <v>48</v>
      </c>
      <c r="D17" s="1" t="s">
        <v>49</v>
      </c>
      <c r="E17" s="25">
        <v>0</v>
      </c>
      <c r="F17" s="25">
        <v>0</v>
      </c>
      <c r="G17" s="25">
        <v>0</v>
      </c>
      <c r="H17" s="24">
        <v>0</v>
      </c>
      <c r="I17" s="23">
        <v>0</v>
      </c>
      <c r="J17" s="23">
        <v>0</v>
      </c>
      <c r="K17" s="23">
        <v>0</v>
      </c>
      <c r="L17" s="22">
        <v>0</v>
      </c>
      <c r="M17" s="21">
        <v>0</v>
      </c>
      <c r="N17" s="21">
        <v>0</v>
      </c>
      <c r="O17" s="21">
        <v>0</v>
      </c>
      <c r="P17" s="20">
        <v>0</v>
      </c>
      <c r="Q17" s="19">
        <v>606299</v>
      </c>
      <c r="R17" s="19">
        <v>0</v>
      </c>
      <c r="S17" s="19">
        <f t="shared" si="2"/>
        <v>-454724.25</v>
      </c>
      <c r="T17" s="18">
        <f t="shared" si="3"/>
        <v>-1</v>
      </c>
      <c r="U17" s="17">
        <v>1134530</v>
      </c>
      <c r="V17" s="16">
        <v>1162893.25</v>
      </c>
    </row>
    <row r="18" spans="1:22" x14ac:dyDescent="0.25">
      <c r="A18" s="47"/>
      <c r="B18" s="48"/>
      <c r="C18" s="1" t="s">
        <v>50</v>
      </c>
      <c r="D18" s="1" t="s">
        <v>51</v>
      </c>
      <c r="E18" s="25">
        <v>185072</v>
      </c>
      <c r="F18" s="25">
        <v>185071.77000000002</v>
      </c>
      <c r="G18" s="25">
        <v>-0.22999999998137355</v>
      </c>
      <c r="H18" s="24">
        <v>-1.242759574551383E-6</v>
      </c>
      <c r="I18" s="23">
        <v>211742.1</v>
      </c>
      <c r="J18" s="23">
        <v>211742.11</v>
      </c>
      <c r="K18" s="23">
        <v>9.9999999802093953E-3</v>
      </c>
      <c r="L18" s="22">
        <v>4.7227263639160068E-8</v>
      </c>
      <c r="M18" s="21">
        <v>209556.12</v>
      </c>
      <c r="N18" s="21">
        <v>209556.11</v>
      </c>
      <c r="O18" s="21">
        <v>-1.0000000009313226E-2</v>
      </c>
      <c r="P18" s="20">
        <v>-4.7719913927177248E-8</v>
      </c>
      <c r="Q18" s="19">
        <v>576457.19999999995</v>
      </c>
      <c r="R18" s="19">
        <v>0</v>
      </c>
      <c r="S18" s="19">
        <f t="shared" si="2"/>
        <v>-432342.89999999997</v>
      </c>
      <c r="T18" s="18">
        <f t="shared" si="3"/>
        <v>-1</v>
      </c>
      <c r="U18" s="17">
        <v>683290.6875</v>
      </c>
      <c r="V18" s="16">
        <v>700372.95468750002</v>
      </c>
    </row>
    <row r="19" spans="1:22" x14ac:dyDescent="0.25">
      <c r="A19" s="47"/>
      <c r="B19" s="48"/>
      <c r="C19" s="1" t="s">
        <v>52</v>
      </c>
      <c r="D19" s="1" t="s">
        <v>53</v>
      </c>
      <c r="E19" s="25">
        <v>10506</v>
      </c>
      <c r="F19" s="25">
        <v>450</v>
      </c>
      <c r="G19" s="25">
        <v>-10056</v>
      </c>
      <c r="H19" s="24">
        <v>-0.95716733295259848</v>
      </c>
      <c r="I19" s="23">
        <v>5000</v>
      </c>
      <c r="J19" s="23">
        <v>1200</v>
      </c>
      <c r="K19" s="23">
        <v>-3800</v>
      </c>
      <c r="L19" s="22">
        <v>-0.76</v>
      </c>
      <c r="M19" s="21">
        <v>11038</v>
      </c>
      <c r="N19" s="21">
        <v>3000</v>
      </c>
      <c r="O19" s="21">
        <v>-8038</v>
      </c>
      <c r="P19" s="20">
        <v>-0.72821163254212717</v>
      </c>
      <c r="Q19" s="19">
        <v>3000</v>
      </c>
      <c r="R19" s="19">
        <v>2000</v>
      </c>
      <c r="S19" s="19">
        <f t="shared" si="2"/>
        <v>-750</v>
      </c>
      <c r="T19" s="18">
        <f t="shared" si="3"/>
        <v>-0.1111111111111111</v>
      </c>
      <c r="U19" s="17">
        <v>11597</v>
      </c>
      <c r="V19" s="16">
        <v>11887</v>
      </c>
    </row>
    <row r="20" spans="1:22" x14ac:dyDescent="0.25">
      <c r="A20" s="47"/>
      <c r="B20" s="48"/>
      <c r="C20" s="1" t="s">
        <v>54</v>
      </c>
      <c r="D20" s="1" t="s">
        <v>55</v>
      </c>
      <c r="E20" s="25">
        <v>0</v>
      </c>
      <c r="F20" s="25">
        <v>0</v>
      </c>
      <c r="G20" s="25">
        <v>0</v>
      </c>
      <c r="H20" s="24">
        <v>0</v>
      </c>
      <c r="I20" s="23">
        <v>0</v>
      </c>
      <c r="J20" s="23">
        <v>0</v>
      </c>
      <c r="K20" s="23">
        <v>0</v>
      </c>
      <c r="L20" s="22">
        <v>0</v>
      </c>
      <c r="M20" s="21">
        <v>0</v>
      </c>
      <c r="N20" s="21">
        <v>0</v>
      </c>
      <c r="O20" s="21">
        <v>0</v>
      </c>
      <c r="P20" s="20">
        <v>0</v>
      </c>
      <c r="Q20" s="19">
        <v>66740</v>
      </c>
      <c r="R20" s="19">
        <v>18062.5</v>
      </c>
      <c r="S20" s="19">
        <f t="shared" si="2"/>
        <v>-36508.125</v>
      </c>
      <c r="T20" s="18">
        <f t="shared" si="3"/>
        <v>-0.63914693836779546</v>
      </c>
      <c r="U20" s="17">
        <v>99158.499999999985</v>
      </c>
      <c r="V20" s="16">
        <v>101637.46249999998</v>
      </c>
    </row>
    <row r="21" spans="1:22" x14ac:dyDescent="0.25">
      <c r="A21" s="47"/>
      <c r="B21" s="48"/>
      <c r="C21" s="1" t="s">
        <v>56</v>
      </c>
      <c r="D21" s="1" t="s">
        <v>57</v>
      </c>
      <c r="E21" s="25">
        <v>0</v>
      </c>
      <c r="F21" s="25">
        <v>0</v>
      </c>
      <c r="G21" s="25">
        <v>0</v>
      </c>
      <c r="H21" s="24">
        <v>0</v>
      </c>
      <c r="I21" s="23">
        <v>0</v>
      </c>
      <c r="J21" s="23">
        <v>0</v>
      </c>
      <c r="K21" s="23">
        <v>0</v>
      </c>
      <c r="L21" s="22">
        <v>0</v>
      </c>
      <c r="M21" s="21">
        <v>0</v>
      </c>
      <c r="N21" s="21">
        <v>0</v>
      </c>
      <c r="O21" s="21">
        <v>0</v>
      </c>
      <c r="P21" s="20">
        <v>0</v>
      </c>
      <c r="Q21" s="19">
        <v>123000</v>
      </c>
      <c r="R21" s="19">
        <v>99566.38</v>
      </c>
      <c r="S21" s="19">
        <f t="shared" si="2"/>
        <v>-17575.214999999997</v>
      </c>
      <c r="T21" s="18">
        <f t="shared" si="3"/>
        <v>7.9310352303523082E-2</v>
      </c>
      <c r="U21" s="17">
        <v>75338</v>
      </c>
      <c r="V21" s="16">
        <v>77221.45</v>
      </c>
    </row>
    <row r="22" spans="1:22" x14ac:dyDescent="0.25">
      <c r="A22" s="47"/>
      <c r="B22" s="48"/>
      <c r="C22" s="1" t="s">
        <v>58</v>
      </c>
      <c r="D22" s="1" t="s">
        <v>59</v>
      </c>
      <c r="E22" s="25">
        <v>0</v>
      </c>
      <c r="F22" s="25">
        <v>0</v>
      </c>
      <c r="G22" s="25">
        <v>0</v>
      </c>
      <c r="H22" s="24">
        <v>0</v>
      </c>
      <c r="I22" s="23">
        <v>0</v>
      </c>
      <c r="J22" s="23">
        <v>0</v>
      </c>
      <c r="K22" s="23">
        <v>0</v>
      </c>
      <c r="L22" s="22">
        <v>0</v>
      </c>
      <c r="M22" s="21">
        <v>15759.38</v>
      </c>
      <c r="N22" s="21">
        <v>0</v>
      </c>
      <c r="O22" s="21">
        <v>-15759.38</v>
      </c>
      <c r="P22" s="20">
        <v>-1</v>
      </c>
      <c r="Q22" s="19">
        <v>0</v>
      </c>
      <c r="R22" s="19">
        <v>0</v>
      </c>
      <c r="S22" s="19">
        <f t="shared" si="2"/>
        <v>0</v>
      </c>
      <c r="T22" s="18">
        <v>0</v>
      </c>
      <c r="U22" s="17">
        <v>16557.193359374996</v>
      </c>
      <c r="V22" s="16">
        <v>16971.12319335937</v>
      </c>
    </row>
    <row r="23" spans="1:22" x14ac:dyDescent="0.25">
      <c r="A23" s="1"/>
      <c r="C23" s="46" t="s">
        <v>60</v>
      </c>
      <c r="D23" s="46"/>
      <c r="E23" s="15">
        <f>SUM(E12:E22)</f>
        <v>2146480</v>
      </c>
      <c r="F23" s="15">
        <f>SUM(F12:F22)</f>
        <v>2078091.08</v>
      </c>
      <c r="G23" s="15">
        <f>SUM(G12:G22)</f>
        <v>-68388.919999999984</v>
      </c>
      <c r="H23" s="14">
        <f>(F23/E23)-1</f>
        <v>-3.1860963065111214E-2</v>
      </c>
      <c r="I23" s="13">
        <f>SUM(I12:I22)</f>
        <v>2426426.0000000005</v>
      </c>
      <c r="J23" s="13">
        <f>SUM(J12:J22)</f>
        <v>2416769.69</v>
      </c>
      <c r="K23" s="13">
        <f>SUM(K12:K22)</f>
        <v>-9656.3100000002596</v>
      </c>
      <c r="L23" s="12">
        <f>(J23/I23)-1</f>
        <v>-3.9796433107791573E-3</v>
      </c>
      <c r="M23" s="11">
        <f>SUM(M12:M22)</f>
        <v>2557187.56</v>
      </c>
      <c r="N23" s="11">
        <f>SUM(N12:N22)</f>
        <v>2337423.4899999998</v>
      </c>
      <c r="O23" s="11">
        <f>SUM(O12:O22)</f>
        <v>-219764.07000000021</v>
      </c>
      <c r="P23" s="10">
        <f>(N23/M23)-1</f>
        <v>-8.5939754063249163E-2</v>
      </c>
      <c r="Q23" s="9">
        <f>SUM(Q12:Q22)</f>
        <v>4654762.2</v>
      </c>
      <c r="R23" s="9">
        <f>SUM(R12:R22)</f>
        <v>1873096.3199999998</v>
      </c>
      <c r="S23" s="9">
        <f>SUM(S12:S22)</f>
        <v>-2086249.41</v>
      </c>
      <c r="T23" s="8">
        <f>(R23-(Q23*0.75))/(Q23*0.75)</f>
        <v>-0.46346093469608407</v>
      </c>
      <c r="U23" s="7">
        <f>SUM(U12:U22)</f>
        <v>5441212.630859375</v>
      </c>
      <c r="V23" s="6">
        <f>SUM(V12:V22)</f>
        <v>5577243.0216308599</v>
      </c>
    </row>
    <row r="24" spans="1:22" x14ac:dyDescent="0.25">
      <c r="A24" s="1"/>
      <c r="C24" s="1"/>
      <c r="D24" s="1"/>
      <c r="E24" s="25"/>
      <c r="F24" s="25"/>
      <c r="G24" s="25"/>
      <c r="H24" s="24"/>
      <c r="I24" s="23"/>
      <c r="J24" s="23"/>
      <c r="K24" s="23"/>
      <c r="L24" s="22"/>
      <c r="M24" s="21"/>
      <c r="N24" s="21"/>
      <c r="O24" s="21"/>
      <c r="P24" s="20"/>
      <c r="Q24" s="19"/>
      <c r="R24" s="19"/>
      <c r="S24" s="19"/>
      <c r="T24" s="18"/>
      <c r="U24" s="17"/>
      <c r="V24" s="16"/>
    </row>
    <row r="25" spans="1:22" x14ac:dyDescent="0.25">
      <c r="A25" s="1"/>
      <c r="C25" s="46" t="s">
        <v>61</v>
      </c>
      <c r="D25" s="46"/>
      <c r="E25" s="15">
        <f>SUM(E10,E23)</f>
        <v>2930791</v>
      </c>
      <c r="F25" s="15">
        <f>SUM(F10,F23)</f>
        <v>2522694.7200000002</v>
      </c>
      <c r="G25" s="15">
        <f>SUM(G10,G23)</f>
        <v>-408096.27999999997</v>
      </c>
      <c r="H25" s="14">
        <f>(F25/E25)-1</f>
        <v>-0.13924441558609935</v>
      </c>
      <c r="I25" s="13">
        <f>SUM(I10,I23)</f>
        <v>3289205.2800000003</v>
      </c>
      <c r="J25" s="13">
        <f>SUM(J10,J23)</f>
        <v>3217614.83</v>
      </c>
      <c r="K25" s="13">
        <f>SUM(K10,K23)</f>
        <v>-71590.450000000303</v>
      </c>
      <c r="L25" s="12">
        <f>(J25/I25)-1</f>
        <v>-2.1765272734816987E-2</v>
      </c>
      <c r="M25" s="11">
        <f>SUM(M10,M23)</f>
        <v>3441535.54</v>
      </c>
      <c r="N25" s="11">
        <f>SUM(N10,N23)</f>
        <v>3191265.86</v>
      </c>
      <c r="O25" s="11">
        <f>SUM(O10,O23)</f>
        <v>-250269.68000000023</v>
      </c>
      <c r="P25" s="10">
        <f>(N25/M25)-1</f>
        <v>-7.2720353194434928E-2</v>
      </c>
      <c r="Q25" s="9">
        <f>SUM(Q10,Q23)</f>
        <v>5606933.2000000002</v>
      </c>
      <c r="R25" s="9">
        <f>SUM(R10,R23)</f>
        <v>2724855.59</v>
      </c>
      <c r="S25" s="9">
        <f>SUM(S10,S23)</f>
        <v>-2161558.2075</v>
      </c>
      <c r="T25" s="8">
        <f>(R25-(Q25*0.75))/(Q25*0.75)</f>
        <v>-0.35202709626241557</v>
      </c>
      <c r="U25" s="7">
        <f>SUM(U10,U23)</f>
        <v>6417187.9058593754</v>
      </c>
      <c r="V25" s="6">
        <f>SUM(V10,V23)</f>
        <v>6577617.6785058593</v>
      </c>
    </row>
    <row r="26" spans="1:22" x14ac:dyDescent="0.25">
      <c r="A26" s="1"/>
      <c r="C26" s="1"/>
      <c r="D26" s="1"/>
    </row>
    <row r="27" spans="1:22" x14ac:dyDescent="0.25">
      <c r="A27" s="1"/>
      <c r="C27" s="1"/>
      <c r="D27" s="1"/>
    </row>
    <row r="28" spans="1:22" x14ac:dyDescent="0.25">
      <c r="A28" s="1"/>
      <c r="C28" s="1"/>
      <c r="D28" s="1"/>
    </row>
    <row r="29" spans="1:22" x14ac:dyDescent="0.25">
      <c r="A29" s="1"/>
      <c r="C29" s="1"/>
      <c r="D29" s="1"/>
    </row>
    <row r="30" spans="1:22" x14ac:dyDescent="0.25">
      <c r="A30" s="1"/>
      <c r="C30" s="1"/>
      <c r="D30" s="1"/>
    </row>
    <row r="31" spans="1:22" x14ac:dyDescent="0.25">
      <c r="A31" s="1"/>
      <c r="C31" s="1"/>
      <c r="D31" s="1"/>
    </row>
    <row r="32" spans="1:22" x14ac:dyDescent="0.25">
      <c r="A32" s="1"/>
      <c r="C32" s="1"/>
      <c r="D32" s="1"/>
    </row>
    <row r="33" spans="1:4" x14ac:dyDescent="0.25">
      <c r="A33" s="1"/>
      <c r="C33" s="1"/>
      <c r="D33" s="1"/>
    </row>
    <row r="34" spans="1:4" x14ac:dyDescent="0.25">
      <c r="A34" s="1"/>
      <c r="C34" s="1"/>
      <c r="D34" s="1"/>
    </row>
    <row r="35" spans="1:4" x14ac:dyDescent="0.25">
      <c r="A35" s="1"/>
      <c r="C35" s="1"/>
      <c r="D35" s="1"/>
    </row>
    <row r="36" spans="1:4" x14ac:dyDescent="0.25">
      <c r="A36" s="1"/>
      <c r="C36" s="1"/>
      <c r="D36" s="1"/>
    </row>
    <row r="37" spans="1:4" x14ac:dyDescent="0.25">
      <c r="A37" s="1"/>
      <c r="C37" s="1"/>
      <c r="D37" s="1"/>
    </row>
    <row r="38" spans="1:4" x14ac:dyDescent="0.25">
      <c r="A38" s="1"/>
      <c r="C38" s="1"/>
      <c r="D38" s="1"/>
    </row>
    <row r="39" spans="1:4" x14ac:dyDescent="0.25">
      <c r="A39" s="1"/>
      <c r="C39" s="1"/>
      <c r="D39" s="1"/>
    </row>
    <row r="40" spans="1:4" x14ac:dyDescent="0.25">
      <c r="A40" s="1"/>
      <c r="C40" s="1"/>
      <c r="D40" s="1"/>
    </row>
    <row r="41" spans="1:4" x14ac:dyDescent="0.25">
      <c r="A41" s="1"/>
      <c r="C41" s="1"/>
      <c r="D41" s="1"/>
    </row>
    <row r="42" spans="1:4" x14ac:dyDescent="0.25">
      <c r="A42" s="1"/>
      <c r="C42" s="1"/>
      <c r="D42" s="1"/>
    </row>
    <row r="43" spans="1:4" x14ac:dyDescent="0.25">
      <c r="A43" s="1"/>
      <c r="C43" s="1"/>
      <c r="D43" s="1"/>
    </row>
    <row r="44" spans="1:4" x14ac:dyDescent="0.25">
      <c r="A44" s="1"/>
      <c r="C44" s="1"/>
      <c r="D44" s="1"/>
    </row>
    <row r="45" spans="1:4" x14ac:dyDescent="0.25">
      <c r="A45" s="1"/>
      <c r="C45" s="1"/>
      <c r="D45" s="1"/>
    </row>
    <row r="46" spans="1:4" x14ac:dyDescent="0.25">
      <c r="A46" s="1"/>
      <c r="C46" s="1"/>
      <c r="D46" s="1"/>
    </row>
    <row r="47" spans="1:4" x14ac:dyDescent="0.25">
      <c r="A47" s="1"/>
      <c r="C47" s="1"/>
      <c r="D47" s="1"/>
    </row>
    <row r="48" spans="1:4" x14ac:dyDescent="0.25">
      <c r="A48" s="1"/>
      <c r="C48" s="1"/>
      <c r="D48" s="1"/>
    </row>
    <row r="49" spans="1:4" x14ac:dyDescent="0.25">
      <c r="A49" s="1"/>
      <c r="C49" s="1"/>
      <c r="D49" s="1"/>
    </row>
    <row r="50" spans="1:4" x14ac:dyDescent="0.25">
      <c r="A50" s="1"/>
      <c r="C50" s="1"/>
      <c r="D50" s="1"/>
    </row>
    <row r="51" spans="1:4" x14ac:dyDescent="0.25">
      <c r="A51" s="1"/>
      <c r="C51" s="1"/>
      <c r="D51" s="1"/>
    </row>
    <row r="52" spans="1:4" x14ac:dyDescent="0.25">
      <c r="A52" s="1"/>
      <c r="C52" s="1"/>
      <c r="D52" s="1"/>
    </row>
  </sheetData>
  <sheetProtection algorithmName="SHA-512" hashValue="xRHrosV29MhsqR3lNUDVVde30v3KfeiyThpBsG5+pQGZ6onuKW19wHkMkCUoBrbz4Qi01weuvBhoJuc6Hc3/PA==" saltValue="64c7jKUkZHR3Vb3tIz4w4A==" spinCount="100000" sheet="1" objects="1" scenarios="1"/>
  <mergeCells count="6">
    <mergeCell ref="C25:D25"/>
    <mergeCell ref="A3:A22"/>
    <mergeCell ref="B3:B9"/>
    <mergeCell ref="C10:D10"/>
    <mergeCell ref="B12:B22"/>
    <mergeCell ref="C23:D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2CF8-6F5F-4A92-BBF8-502A1FF864C7}">
  <dimension ref="A1:D7"/>
  <sheetViews>
    <sheetView topLeftCell="A2" workbookViewId="0">
      <selection activeCell="L21" sqref="L21"/>
    </sheetView>
  </sheetViews>
  <sheetFormatPr defaultRowHeight="15" x14ac:dyDescent="0.25"/>
  <cols>
    <col min="1" max="2" width="35.7109375" customWidth="1"/>
    <col min="3" max="3" width="69" style="4" customWidth="1"/>
    <col min="4" max="4" width="68.85546875" style="4" customWidth="1"/>
  </cols>
  <sheetData>
    <row r="1" spans="1:4" x14ac:dyDescent="0.25">
      <c r="A1" s="1"/>
      <c r="B1" s="1"/>
    </row>
    <row r="2" spans="1:4" ht="15.75" x14ac:dyDescent="0.25">
      <c r="A2" s="2" t="s">
        <v>8</v>
      </c>
      <c r="B2" s="2" t="s">
        <v>9</v>
      </c>
      <c r="C2" s="5" t="s">
        <v>62</v>
      </c>
      <c r="D2" s="4" t="s">
        <v>63</v>
      </c>
    </row>
    <row r="3" spans="1:4" ht="54" customHeight="1" x14ac:dyDescent="0.25">
      <c r="A3" s="1" t="s">
        <v>18</v>
      </c>
      <c r="B3" s="1" t="s">
        <v>19</v>
      </c>
      <c r="C3" s="4" t="s">
        <v>20</v>
      </c>
      <c r="D3" s="4" t="s">
        <v>64</v>
      </c>
    </row>
    <row r="4" spans="1:4" ht="32.25" customHeight="1" x14ac:dyDescent="0.25">
      <c r="A4" s="1" t="s">
        <v>31</v>
      </c>
      <c r="B4" s="1" t="s">
        <v>32</v>
      </c>
      <c r="C4" s="4" t="s">
        <v>33</v>
      </c>
      <c r="D4" s="4" t="s">
        <v>65</v>
      </c>
    </row>
    <row r="5" spans="1:4" ht="30" customHeight="1" x14ac:dyDescent="0.25">
      <c r="A5" s="1" t="s">
        <v>38</v>
      </c>
      <c r="B5" s="1" t="s">
        <v>39</v>
      </c>
      <c r="C5" s="4" t="s">
        <v>40</v>
      </c>
      <c r="D5" s="4" t="s">
        <v>66</v>
      </c>
    </row>
    <row r="6" spans="1:4" ht="36" customHeight="1" x14ac:dyDescent="0.25">
      <c r="A6" s="1" t="s">
        <v>41</v>
      </c>
      <c r="B6" s="1" t="s">
        <v>42</v>
      </c>
      <c r="C6" s="4" t="s">
        <v>40</v>
      </c>
      <c r="D6" s="4" t="s">
        <v>66</v>
      </c>
    </row>
    <row r="7" spans="1:4" ht="42.75" customHeight="1" x14ac:dyDescent="0.25">
      <c r="A7" s="1" t="s">
        <v>45</v>
      </c>
      <c r="B7" s="1" t="s">
        <v>46</v>
      </c>
      <c r="C7" s="4" t="s">
        <v>47</v>
      </c>
      <c r="D7" s="4" t="s">
        <v>67</v>
      </c>
    </row>
  </sheetData>
  <sheetProtection algorithmName="SHA-512" hashValue="R+j5tWHsbk01I2f7YK5wFPgWW2howMJGBRxNC9HY2g65Z352U3ll5jzNiXxBwp0RktS2OvjxbnghjhMnY0uhiQ==" saltValue="ZJnwSrEP24SkYxd7PK+pP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A785B-F131-4298-A04C-213B5266F8A8}">
  <dimension ref="A1:K14"/>
  <sheetViews>
    <sheetView workbookViewId="0">
      <selection activeCell="L21" sqref="L21"/>
    </sheetView>
  </sheetViews>
  <sheetFormatPr defaultRowHeight="15" x14ac:dyDescent="0.25"/>
  <cols>
    <col min="1" max="1" width="44" style="49" customWidth="1"/>
    <col min="2" max="2" width="9.140625" style="49"/>
    <col min="3" max="11" width="13.85546875" style="49" customWidth="1"/>
    <col min="12" max="16384" width="9.140625" style="49"/>
  </cols>
  <sheetData>
    <row r="1" spans="1:11" ht="27.75" customHeight="1" thickBot="1" x14ac:dyDescent="0.3">
      <c r="A1" s="165" t="s">
        <v>126</v>
      </c>
      <c r="B1" s="165"/>
      <c r="C1" s="165"/>
      <c r="D1" s="165"/>
      <c r="E1" s="165"/>
      <c r="F1" s="165"/>
      <c r="G1" s="165"/>
      <c r="H1" s="165"/>
      <c r="I1" s="165"/>
      <c r="J1" s="165"/>
      <c r="K1" s="165"/>
    </row>
    <row r="2" spans="1:11" ht="48" thickBot="1" x14ac:dyDescent="0.3">
      <c r="A2" s="82" t="s">
        <v>8</v>
      </c>
      <c r="B2" s="82" t="s">
        <v>9</v>
      </c>
      <c r="C2" s="81" t="s">
        <v>85</v>
      </c>
      <c r="D2" s="80" t="s">
        <v>84</v>
      </c>
      <c r="E2" s="80" t="s">
        <v>83</v>
      </c>
      <c r="F2" s="79" t="s">
        <v>82</v>
      </c>
      <c r="G2" s="78" t="s">
        <v>81</v>
      </c>
      <c r="H2" s="77" t="s">
        <v>80</v>
      </c>
      <c r="I2" s="77" t="s">
        <v>79</v>
      </c>
      <c r="J2" s="76" t="s">
        <v>78</v>
      </c>
      <c r="K2" s="76" t="s">
        <v>77</v>
      </c>
    </row>
    <row r="3" spans="1:11" x14ac:dyDescent="0.25">
      <c r="A3" s="75" t="s">
        <v>125</v>
      </c>
      <c r="B3" s="74" t="s">
        <v>124</v>
      </c>
      <c r="C3" s="73">
        <v>30770000</v>
      </c>
      <c r="D3" s="73">
        <v>26532352.800000001</v>
      </c>
      <c r="E3" s="73">
        <v>4237647.1999999993</v>
      </c>
      <c r="F3" s="72">
        <v>11000000</v>
      </c>
      <c r="G3" s="164" t="s">
        <v>2</v>
      </c>
      <c r="H3" s="70">
        <f>D3-C3</f>
        <v>-4237647.1999999993</v>
      </c>
      <c r="I3" s="163">
        <f>(D3-C3)/C3</f>
        <v>-0.13772009099772503</v>
      </c>
      <c r="J3" s="68">
        <v>-2215000</v>
      </c>
      <c r="K3" s="68">
        <f>-2215000</f>
        <v>-2215000</v>
      </c>
    </row>
    <row r="4" spans="1:11" x14ac:dyDescent="0.25">
      <c r="A4" s="66" t="s">
        <v>76</v>
      </c>
      <c r="B4" s="162" t="s">
        <v>123</v>
      </c>
      <c r="C4" s="64">
        <v>4125000</v>
      </c>
      <c r="D4" s="64">
        <v>347315.39</v>
      </c>
      <c r="E4" s="64">
        <v>3777684.61</v>
      </c>
      <c r="F4" s="63">
        <v>1925000</v>
      </c>
      <c r="G4" s="157" t="s">
        <v>68</v>
      </c>
      <c r="H4" s="61">
        <f>D4-C4</f>
        <v>-3777684.61</v>
      </c>
      <c r="I4" s="156">
        <f>(D4-C4)/C4</f>
        <v>-0.91580232969696962</v>
      </c>
      <c r="J4" s="155">
        <f>2000000+2000000</f>
        <v>4000000</v>
      </c>
      <c r="K4" s="155">
        <v>14000000</v>
      </c>
    </row>
    <row r="5" spans="1:11" x14ac:dyDescent="0.25">
      <c r="A5" s="66" t="s">
        <v>122</v>
      </c>
      <c r="B5" s="65" t="s">
        <v>121</v>
      </c>
      <c r="C5" s="64">
        <v>7420000</v>
      </c>
      <c r="D5" s="64">
        <v>161867.79999999999</v>
      </c>
      <c r="E5" s="64">
        <v>7258132.2000000002</v>
      </c>
      <c r="F5" s="63">
        <v>5200000</v>
      </c>
      <c r="G5" s="157" t="s">
        <v>1</v>
      </c>
      <c r="H5" s="61">
        <f>D5-C5</f>
        <v>-7258132.2000000002</v>
      </c>
      <c r="I5" s="156">
        <f>(D5-C5)/C5</f>
        <v>-0.9781849326145553</v>
      </c>
      <c r="J5" s="155">
        <v>0</v>
      </c>
      <c r="K5" s="155">
        <v>0</v>
      </c>
    </row>
    <row r="6" spans="1:11" x14ac:dyDescent="0.25">
      <c r="A6" s="66" t="s">
        <v>72</v>
      </c>
      <c r="B6" s="65" t="s">
        <v>120</v>
      </c>
      <c r="C6" s="64">
        <v>2453714.83</v>
      </c>
      <c r="D6" s="64">
        <v>595741.83000000007</v>
      </c>
      <c r="E6" s="64">
        <v>1857973</v>
      </c>
      <c r="F6" s="63">
        <v>577910</v>
      </c>
      <c r="G6" s="157" t="s">
        <v>2</v>
      </c>
      <c r="H6" s="61">
        <f>D6-C6</f>
        <v>-1857973</v>
      </c>
      <c r="I6" s="156">
        <f>(D6-C6)/C6</f>
        <v>-0.75720820418239065</v>
      </c>
      <c r="J6" s="155">
        <v>0</v>
      </c>
      <c r="K6" s="155">
        <v>0</v>
      </c>
    </row>
    <row r="7" spans="1:11" x14ac:dyDescent="0.25">
      <c r="A7" s="66" t="s">
        <v>72</v>
      </c>
      <c r="B7" s="65" t="s">
        <v>119</v>
      </c>
      <c r="C7" s="64">
        <v>1099947.1599999999</v>
      </c>
      <c r="D7" s="64">
        <v>196213.16</v>
      </c>
      <c r="E7" s="64">
        <v>903733.99999999988</v>
      </c>
      <c r="F7" s="63">
        <v>292465</v>
      </c>
      <c r="G7" s="157" t="s">
        <v>2</v>
      </c>
      <c r="H7" s="61">
        <f>D7-C7</f>
        <v>-903733.99999999988</v>
      </c>
      <c r="I7" s="156">
        <f>(D7-C7)/C7</f>
        <v>-0.82161583107319447</v>
      </c>
      <c r="J7" s="155">
        <v>0</v>
      </c>
      <c r="K7" s="155">
        <v>0</v>
      </c>
    </row>
    <row r="8" spans="1:11" x14ac:dyDescent="0.25">
      <c r="A8" s="66" t="s">
        <v>72</v>
      </c>
      <c r="B8" s="65" t="s">
        <v>118</v>
      </c>
      <c r="C8" s="64">
        <v>1298664</v>
      </c>
      <c r="D8" s="64">
        <v>45805.83</v>
      </c>
      <c r="E8" s="64">
        <v>1252858.17</v>
      </c>
      <c r="F8" s="63">
        <v>1298664</v>
      </c>
      <c r="G8" s="157" t="s">
        <v>68</v>
      </c>
      <c r="H8" s="61">
        <f>D8-C8</f>
        <v>-1252858.17</v>
      </c>
      <c r="I8" s="156">
        <f>(D8-C8)/C8</f>
        <v>-0.96472849790245974</v>
      </c>
      <c r="J8" s="155">
        <v>2632440</v>
      </c>
      <c r="K8" s="155">
        <v>328983</v>
      </c>
    </row>
    <row r="9" spans="1:11" x14ac:dyDescent="0.25">
      <c r="A9" s="66" t="s">
        <v>117</v>
      </c>
      <c r="B9" s="65" t="s">
        <v>116</v>
      </c>
      <c r="C9" s="64">
        <v>7712500</v>
      </c>
      <c r="D9" s="64">
        <v>586697.03</v>
      </c>
      <c r="E9" s="64">
        <v>7125802.9699999997</v>
      </c>
      <c r="F9" s="63">
        <v>1400000</v>
      </c>
      <c r="G9" s="157" t="s">
        <v>68</v>
      </c>
      <c r="H9" s="61">
        <f>D9-C9</f>
        <v>-7125802.9699999997</v>
      </c>
      <c r="I9" s="156">
        <f>(D9-C9)/C9</f>
        <v>-0.92392907228525123</v>
      </c>
      <c r="J9" s="155">
        <f>1400000+3500000</f>
        <v>4900000</v>
      </c>
      <c r="K9" s="155">
        <f>340200+3990000</f>
        <v>4330200</v>
      </c>
    </row>
    <row r="10" spans="1:11" x14ac:dyDescent="0.25">
      <c r="A10" s="66" t="s">
        <v>115</v>
      </c>
      <c r="B10" s="65" t="s">
        <v>114</v>
      </c>
      <c r="C10" s="64">
        <v>166500</v>
      </c>
      <c r="D10" s="64">
        <v>24511.5</v>
      </c>
      <c r="E10" s="64">
        <v>141988.5</v>
      </c>
      <c r="F10" s="158">
        <v>166500</v>
      </c>
      <c r="G10" s="157" t="s">
        <v>1</v>
      </c>
      <c r="H10" s="61">
        <f>D10-C10</f>
        <v>-141988.5</v>
      </c>
      <c r="I10" s="156">
        <f>(D10-C10)/C10</f>
        <v>-0.85278378378378383</v>
      </c>
      <c r="J10" s="155">
        <v>0</v>
      </c>
      <c r="K10" s="155">
        <v>0</v>
      </c>
    </row>
    <row r="11" spans="1:11" x14ac:dyDescent="0.25">
      <c r="A11" s="66" t="s">
        <v>113</v>
      </c>
      <c r="B11" s="65" t="s">
        <v>112</v>
      </c>
      <c r="C11" s="64">
        <v>650000</v>
      </c>
      <c r="D11" s="64">
        <v>328706.84999999998</v>
      </c>
      <c r="E11" s="64">
        <v>321293.15000000002</v>
      </c>
      <c r="F11" s="161">
        <v>650000</v>
      </c>
      <c r="G11" s="157" t="s">
        <v>111</v>
      </c>
      <c r="H11" s="61">
        <f>D11-C11</f>
        <v>-321293.15000000002</v>
      </c>
      <c r="I11" s="156">
        <f>(D11-C11)/C11</f>
        <v>-0.49429715384615386</v>
      </c>
      <c r="J11" s="155">
        <v>0</v>
      </c>
      <c r="K11" s="155">
        <v>0</v>
      </c>
    </row>
    <row r="12" spans="1:11" x14ac:dyDescent="0.25">
      <c r="A12" s="66" t="s">
        <v>110</v>
      </c>
      <c r="B12" s="160" t="s">
        <v>109</v>
      </c>
      <c r="C12" s="64">
        <v>9927558.5199999996</v>
      </c>
      <c r="D12" s="64">
        <v>812052.97000000009</v>
      </c>
      <c r="E12" s="64">
        <v>9115505.5499999989</v>
      </c>
      <c r="F12" s="158">
        <v>3900000</v>
      </c>
      <c r="G12" s="157" t="s">
        <v>68</v>
      </c>
      <c r="H12" s="61">
        <f>D12-C12</f>
        <v>-9115505.5499999989</v>
      </c>
      <c r="I12" s="156">
        <f>(D12-C12)/C12</f>
        <v>-0.91820214724858651</v>
      </c>
      <c r="J12" s="155">
        <v>4056000</v>
      </c>
      <c r="K12" s="155">
        <v>4218240</v>
      </c>
    </row>
    <row r="13" spans="1:11" x14ac:dyDescent="0.25">
      <c r="A13" s="66" t="s">
        <v>108</v>
      </c>
      <c r="B13" s="160" t="s">
        <v>107</v>
      </c>
      <c r="C13" s="64">
        <v>351000</v>
      </c>
      <c r="D13" s="159">
        <v>0</v>
      </c>
      <c r="E13" s="64">
        <v>351000</v>
      </c>
      <c r="F13" s="158">
        <v>351000</v>
      </c>
      <c r="G13" s="157" t="s">
        <v>2</v>
      </c>
      <c r="H13" s="61">
        <f>D13-C13</f>
        <v>-351000</v>
      </c>
      <c r="I13" s="156">
        <f>(D13-C13)/C13</f>
        <v>-1</v>
      </c>
      <c r="J13" s="155">
        <v>0</v>
      </c>
      <c r="K13" s="155">
        <v>0</v>
      </c>
    </row>
    <row r="14" spans="1:11" ht="15.75" thickBot="1" x14ac:dyDescent="0.3">
      <c r="A14" s="58" t="s">
        <v>106</v>
      </c>
      <c r="B14" s="154" t="s">
        <v>105</v>
      </c>
      <c r="C14" s="56">
        <v>218750</v>
      </c>
      <c r="D14" s="153">
        <v>0</v>
      </c>
      <c r="E14" s="56">
        <v>218750</v>
      </c>
      <c r="F14" s="152">
        <v>218750</v>
      </c>
      <c r="G14" s="151" t="s">
        <v>68</v>
      </c>
      <c r="H14" s="53">
        <f>D14-C14</f>
        <v>-218750</v>
      </c>
      <c r="I14" s="150">
        <f>(D14-C14)/C14</f>
        <v>-1</v>
      </c>
      <c r="J14" s="51">
        <v>0</v>
      </c>
      <c r="K14" s="51">
        <v>0</v>
      </c>
    </row>
  </sheetData>
  <sheetProtection algorithmName="SHA-512" hashValue="MBGpDQan375+rCz3IQgLLKejJXAtRo/j19TU309G3A8tRwYjPNHAVYMrJOLv4CT7RdPfgyod7TPJPqP66ZYmUA==" saltValue="Tk/kDrXrem88ieUhhA2uo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C2F8-89CE-4A1E-99C6-B19E9D575A81}">
  <dimension ref="A1:D10"/>
  <sheetViews>
    <sheetView workbookViewId="0">
      <selection activeCell="L21" sqref="L21"/>
    </sheetView>
  </sheetViews>
  <sheetFormatPr defaultRowHeight="15" x14ac:dyDescent="0.25"/>
  <cols>
    <col min="1" max="1" width="35.7109375" customWidth="1"/>
    <col min="2" max="2" width="16" customWidth="1"/>
    <col min="3" max="4" width="65.5703125" customWidth="1"/>
  </cols>
  <sheetData>
    <row r="1" spans="1:4" ht="19.5" thickBot="1" x14ac:dyDescent="0.3">
      <c r="A1" s="165" t="s">
        <v>126</v>
      </c>
      <c r="B1" s="174"/>
      <c r="C1" s="174"/>
      <c r="D1" s="174"/>
    </row>
    <row r="2" spans="1:4" ht="16.5" thickBot="1" x14ac:dyDescent="0.3">
      <c r="A2" s="98" t="s">
        <v>8</v>
      </c>
      <c r="B2" s="98" t="s">
        <v>9</v>
      </c>
      <c r="C2" s="97" t="s">
        <v>143</v>
      </c>
      <c r="D2" s="173" t="s">
        <v>63</v>
      </c>
    </row>
    <row r="3" spans="1:4" s="4" customFormat="1" ht="180.75" customHeight="1" x14ac:dyDescent="0.25">
      <c r="A3" s="172" t="s">
        <v>125</v>
      </c>
      <c r="B3" s="94" t="s">
        <v>124</v>
      </c>
      <c r="C3" s="171" t="s">
        <v>142</v>
      </c>
      <c r="D3" s="170" t="s">
        <v>141</v>
      </c>
    </row>
    <row r="4" spans="1:4" s="4" customFormat="1" ht="90" x14ac:dyDescent="0.25">
      <c r="A4" s="168" t="s">
        <v>122</v>
      </c>
      <c r="B4" s="90" t="s">
        <v>121</v>
      </c>
      <c r="C4" s="167" t="s">
        <v>140</v>
      </c>
      <c r="D4" s="169" t="s">
        <v>139</v>
      </c>
    </row>
    <row r="5" spans="1:4" s="4" customFormat="1" ht="54.75" customHeight="1" x14ac:dyDescent="0.25">
      <c r="A5" s="168" t="s">
        <v>72</v>
      </c>
      <c r="B5" s="90" t="s">
        <v>120</v>
      </c>
      <c r="C5" s="167" t="s">
        <v>138</v>
      </c>
      <c r="D5" s="169" t="s">
        <v>137</v>
      </c>
    </row>
    <row r="6" spans="1:4" s="4" customFormat="1" ht="75" x14ac:dyDescent="0.25">
      <c r="A6" s="168" t="s">
        <v>72</v>
      </c>
      <c r="B6" s="90" t="s">
        <v>118</v>
      </c>
      <c r="C6" s="167" t="s">
        <v>136</v>
      </c>
      <c r="D6" s="169" t="s">
        <v>135</v>
      </c>
    </row>
    <row r="7" spans="1:4" s="4" customFormat="1" ht="30" x14ac:dyDescent="0.25">
      <c r="A7" s="168" t="s">
        <v>117</v>
      </c>
      <c r="B7" s="90" t="s">
        <v>116</v>
      </c>
      <c r="C7" s="167" t="s">
        <v>134</v>
      </c>
      <c r="D7" s="169" t="s">
        <v>133</v>
      </c>
    </row>
    <row r="8" spans="1:4" s="4" customFormat="1" ht="120" x14ac:dyDescent="0.25">
      <c r="A8" s="168" t="s">
        <v>115</v>
      </c>
      <c r="B8" s="90" t="s">
        <v>114</v>
      </c>
      <c r="C8" s="167" t="s">
        <v>132</v>
      </c>
      <c r="D8" s="169" t="s">
        <v>131</v>
      </c>
    </row>
    <row r="9" spans="1:4" s="4" customFormat="1" ht="60" x14ac:dyDescent="0.25">
      <c r="A9" s="168" t="s">
        <v>113</v>
      </c>
      <c r="B9" s="90" t="s">
        <v>112</v>
      </c>
      <c r="C9" s="167" t="s">
        <v>130</v>
      </c>
      <c r="D9" s="169" t="s">
        <v>129</v>
      </c>
    </row>
    <row r="10" spans="1:4" s="4" customFormat="1" ht="60.75" thickBot="1" x14ac:dyDescent="0.3">
      <c r="A10" s="168" t="s">
        <v>110</v>
      </c>
      <c r="B10" s="90" t="s">
        <v>109</v>
      </c>
      <c r="C10" s="167" t="s">
        <v>128</v>
      </c>
      <c r="D10" s="166" t="s">
        <v>127</v>
      </c>
    </row>
  </sheetData>
  <sheetProtection algorithmName="SHA-512" hashValue="IHQzdNxGayApmnPAkQhGU920MasQT98LDp4J7eiTAuDg6bfnSQDRckUMs+C1zdYGyL+tvn/kcopENaMG5i+Haw==" saltValue="lM2MbGABAaQCXhhBJ+GR7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CDAEF-528B-4A93-934C-60590A7612B7}">
  <dimension ref="A1:V52"/>
  <sheetViews>
    <sheetView workbookViewId="0">
      <selection activeCell="L21" sqref="L21"/>
    </sheetView>
  </sheetViews>
  <sheetFormatPr defaultRowHeight="15" x14ac:dyDescent="0.25"/>
  <cols>
    <col min="2" max="2" width="27.7109375" customWidth="1"/>
    <col min="3" max="3" width="43.28515625" customWidth="1"/>
    <col min="4" max="4" width="12" customWidth="1"/>
    <col min="5" max="6" width="12.140625" customWidth="1"/>
    <col min="7" max="7" width="12.85546875" customWidth="1"/>
    <col min="8" max="8" width="13.5703125" customWidth="1"/>
    <col min="9" max="10" width="12.140625" customWidth="1"/>
    <col min="11" max="11" width="12.7109375" customWidth="1"/>
    <col min="12" max="12" width="13.5703125" customWidth="1"/>
    <col min="13" max="14" width="12.140625" customWidth="1"/>
    <col min="15" max="15" width="12.7109375" customWidth="1"/>
    <col min="16" max="16" width="14.5703125" customWidth="1"/>
    <col min="17" max="18" width="12.140625" customWidth="1"/>
    <col min="19" max="19" width="14.42578125" customWidth="1"/>
    <col min="20" max="20" width="16.5703125" customWidth="1"/>
    <col min="21" max="22" width="13.42578125" customWidth="1"/>
  </cols>
  <sheetData>
    <row r="1" spans="1:22" ht="21" x14ac:dyDescent="0.35">
      <c r="A1" s="1"/>
      <c r="C1" s="1"/>
      <c r="D1" s="1"/>
      <c r="E1" s="45" t="s">
        <v>0</v>
      </c>
      <c r="F1" s="45"/>
      <c r="G1" s="45"/>
      <c r="H1" s="44"/>
      <c r="I1" s="43" t="s">
        <v>1</v>
      </c>
      <c r="J1" s="43"/>
      <c r="K1" s="43"/>
      <c r="L1" s="42"/>
      <c r="M1" s="41" t="s">
        <v>2</v>
      </c>
      <c r="N1" s="41"/>
      <c r="O1" s="41"/>
      <c r="P1" s="40"/>
      <c r="Q1" s="39" t="s">
        <v>3</v>
      </c>
      <c r="R1" s="39"/>
      <c r="S1" s="39"/>
      <c r="T1" s="38"/>
      <c r="U1" s="37" t="s">
        <v>4</v>
      </c>
      <c r="V1" s="36" t="s">
        <v>5</v>
      </c>
    </row>
    <row r="2" spans="1:22" s="184" customFormat="1" ht="15.75" x14ac:dyDescent="0.25">
      <c r="A2" s="195" t="s">
        <v>6</v>
      </c>
      <c r="B2" s="195" t="s">
        <v>7</v>
      </c>
      <c r="C2" s="195" t="s">
        <v>8</v>
      </c>
      <c r="D2" s="195" t="s">
        <v>9</v>
      </c>
      <c r="E2" s="194" t="s">
        <v>10</v>
      </c>
      <c r="F2" s="194" t="s">
        <v>11</v>
      </c>
      <c r="G2" s="194" t="s">
        <v>12</v>
      </c>
      <c r="H2" s="193" t="s">
        <v>13</v>
      </c>
      <c r="I2" s="192" t="s">
        <v>10</v>
      </c>
      <c r="J2" s="192" t="s">
        <v>11</v>
      </c>
      <c r="K2" s="192" t="s">
        <v>12</v>
      </c>
      <c r="L2" s="191" t="s">
        <v>13</v>
      </c>
      <c r="M2" s="190" t="s">
        <v>10</v>
      </c>
      <c r="N2" s="190" t="s">
        <v>11</v>
      </c>
      <c r="O2" s="190" t="s">
        <v>12</v>
      </c>
      <c r="P2" s="189" t="s">
        <v>13</v>
      </c>
      <c r="Q2" s="188" t="s">
        <v>10</v>
      </c>
      <c r="R2" s="188" t="s">
        <v>11</v>
      </c>
      <c r="S2" s="188" t="s">
        <v>14</v>
      </c>
      <c r="T2" s="187" t="s">
        <v>15</v>
      </c>
      <c r="U2" s="186" t="s">
        <v>10</v>
      </c>
      <c r="V2" s="185" t="s">
        <v>10</v>
      </c>
    </row>
    <row r="3" spans="1:22" x14ac:dyDescent="0.25">
      <c r="A3" s="176" t="s">
        <v>191</v>
      </c>
      <c r="B3" s="48" t="s">
        <v>17</v>
      </c>
      <c r="C3" s="1" t="s">
        <v>190</v>
      </c>
      <c r="D3" s="1" t="s">
        <v>189</v>
      </c>
      <c r="E3" s="183">
        <v>0</v>
      </c>
      <c r="F3" s="183">
        <v>0</v>
      </c>
      <c r="G3" s="183">
        <v>0</v>
      </c>
      <c r="H3" s="24">
        <v>0</v>
      </c>
      <c r="I3" s="181">
        <v>0</v>
      </c>
      <c r="J3" s="181">
        <v>0</v>
      </c>
      <c r="K3" s="181">
        <v>0</v>
      </c>
      <c r="L3" s="22">
        <v>0</v>
      </c>
      <c r="M3" s="180">
        <v>2190000</v>
      </c>
      <c r="N3" s="180">
        <v>2117600.5499999998</v>
      </c>
      <c r="O3" s="180">
        <v>-72399.450000000186</v>
      </c>
      <c r="P3" s="20">
        <v>-3.305910958904118E-2</v>
      </c>
      <c r="Q3" s="179">
        <v>2244750</v>
      </c>
      <c r="R3" s="179">
        <v>1408619.35</v>
      </c>
      <c r="S3" s="179">
        <f>R3-Q3</f>
        <v>-836130.64999999991</v>
      </c>
      <c r="T3" s="18">
        <f>(R3-(Q3*0.75))/(Q3*0.75)</f>
        <v>-0.16331033151427399</v>
      </c>
      <c r="U3" s="178">
        <v>1982680</v>
      </c>
      <c r="V3" s="177">
        <v>2032246.9999999998</v>
      </c>
    </row>
    <row r="4" spans="1:22" x14ac:dyDescent="0.25">
      <c r="A4" s="176"/>
      <c r="B4" s="48"/>
      <c r="C4" s="1" t="s">
        <v>188</v>
      </c>
      <c r="D4" s="1" t="s">
        <v>187</v>
      </c>
      <c r="E4" s="183">
        <v>25000</v>
      </c>
      <c r="F4" s="183">
        <v>20566.690000000002</v>
      </c>
      <c r="G4" s="183">
        <v>-4433.3099999999977</v>
      </c>
      <c r="H4" s="24">
        <v>-0.17733239999999992</v>
      </c>
      <c r="I4" s="181">
        <v>25625</v>
      </c>
      <c r="J4" s="181">
        <v>19430.71</v>
      </c>
      <c r="K4" s="181">
        <v>-6194.2900000000009</v>
      </c>
      <c r="L4" s="22">
        <v>-0.24172839024390247</v>
      </c>
      <c r="M4" s="180">
        <v>26265.63</v>
      </c>
      <c r="N4" s="180">
        <v>22429.119999999999</v>
      </c>
      <c r="O4" s="180">
        <v>-3836.510000000002</v>
      </c>
      <c r="P4" s="20">
        <v>-0.14606579015999244</v>
      </c>
      <c r="Q4" s="179">
        <v>77187</v>
      </c>
      <c r="R4" s="179">
        <v>36468.32</v>
      </c>
      <c r="S4" s="179">
        <f>R4-Q4</f>
        <v>-40718.68</v>
      </c>
      <c r="T4" s="18">
        <f>(R4-(Q4*0.75))/(Q4*0.75)</f>
        <v>-0.37004383294250759</v>
      </c>
      <c r="U4" s="178">
        <v>27595</v>
      </c>
      <c r="V4" s="177">
        <v>0</v>
      </c>
    </row>
    <row r="5" spans="1:22" x14ac:dyDescent="0.25">
      <c r="A5" s="176"/>
      <c r="B5" s="48"/>
      <c r="C5" s="1" t="s">
        <v>186</v>
      </c>
      <c r="D5" s="1" t="s">
        <v>185</v>
      </c>
      <c r="E5" s="183">
        <v>46266</v>
      </c>
      <c r="F5" s="183">
        <v>1130.67</v>
      </c>
      <c r="G5" s="183">
        <v>-45135.33</v>
      </c>
      <c r="H5" s="24">
        <v>-0.97556153546881086</v>
      </c>
      <c r="I5" s="181">
        <v>46922</v>
      </c>
      <c r="J5" s="181">
        <v>20240.02</v>
      </c>
      <c r="K5" s="181">
        <v>-26681.98</v>
      </c>
      <c r="L5" s="22">
        <v>-0.56864541153403525</v>
      </c>
      <c r="M5" s="180">
        <v>42595</v>
      </c>
      <c r="N5" s="180">
        <v>13970</v>
      </c>
      <c r="O5" s="180">
        <v>-28625</v>
      </c>
      <c r="P5" s="20">
        <v>-0.67202723324333846</v>
      </c>
      <c r="Q5" s="179">
        <v>53285</v>
      </c>
      <c r="R5" s="179">
        <v>0</v>
      </c>
      <c r="S5" s="179">
        <f>R5-Q5</f>
        <v>-53285</v>
      </c>
      <c r="T5" s="18">
        <f>(R5-(Q5*0.75))/(Q5*0.75)</f>
        <v>-1</v>
      </c>
      <c r="U5" s="178">
        <v>28992</v>
      </c>
      <c r="V5" s="177">
        <v>29716.799999999996</v>
      </c>
    </row>
    <row r="6" spans="1:22" x14ac:dyDescent="0.25">
      <c r="A6" s="176"/>
      <c r="B6" s="48"/>
      <c r="C6" s="1" t="s">
        <v>184</v>
      </c>
      <c r="D6" s="1" t="s">
        <v>183</v>
      </c>
      <c r="E6" s="183">
        <v>34611</v>
      </c>
      <c r="F6" s="183">
        <v>8034.2</v>
      </c>
      <c r="G6" s="183">
        <v>-26576.799999999999</v>
      </c>
      <c r="H6" s="24">
        <v>-0.76787148594377497</v>
      </c>
      <c r="I6" s="181">
        <v>152977</v>
      </c>
      <c r="J6" s="181">
        <v>52535.71</v>
      </c>
      <c r="K6" s="181">
        <v>-100441.29000000001</v>
      </c>
      <c r="L6" s="22">
        <v>-0.65657772083385091</v>
      </c>
      <c r="M6" s="180">
        <v>191426</v>
      </c>
      <c r="N6" s="180">
        <v>92873.39</v>
      </c>
      <c r="O6" s="180">
        <v>-98552.61</v>
      </c>
      <c r="P6" s="20">
        <v>-0.51483398284454562</v>
      </c>
      <c r="Q6" s="179">
        <v>194962</v>
      </c>
      <c r="R6" s="179">
        <v>10014</v>
      </c>
      <c r="S6" s="179">
        <f>R6-Q6</f>
        <v>-184948</v>
      </c>
      <c r="T6" s="18">
        <f>(R6-(Q6*0.75))/(Q6*0.75)</f>
        <v>-0.93151485930591604</v>
      </c>
      <c r="U6" s="178">
        <v>148586.04999999999</v>
      </c>
      <c r="V6" s="177">
        <v>152300.70124999998</v>
      </c>
    </row>
    <row r="7" spans="1:22" x14ac:dyDescent="0.25">
      <c r="A7" s="176"/>
      <c r="B7" s="48"/>
      <c r="C7" s="1" t="s">
        <v>182</v>
      </c>
      <c r="D7" s="1" t="s">
        <v>181</v>
      </c>
      <c r="E7" s="183">
        <v>53905</v>
      </c>
      <c r="F7" s="183">
        <v>7155</v>
      </c>
      <c r="G7" s="183">
        <v>-46750</v>
      </c>
      <c r="H7" s="24">
        <v>-0.86726648733883682</v>
      </c>
      <c r="I7" s="181">
        <v>75253</v>
      </c>
      <c r="J7" s="181">
        <v>2835</v>
      </c>
      <c r="K7" s="181">
        <v>-72418</v>
      </c>
      <c r="L7" s="22">
        <v>-0.96232708330564898</v>
      </c>
      <c r="M7" s="180">
        <v>127500</v>
      </c>
      <c r="N7" s="180">
        <v>16227.65</v>
      </c>
      <c r="O7" s="180">
        <v>-111272.35</v>
      </c>
      <c r="P7" s="20">
        <v>-0.8727243137254902</v>
      </c>
      <c r="Q7" s="179">
        <v>144437.5</v>
      </c>
      <c r="R7" s="179">
        <v>40378.639999999999</v>
      </c>
      <c r="S7" s="179">
        <f>R7-Q7</f>
        <v>-104058.86</v>
      </c>
      <c r="T7" s="18">
        <f>(R7-(Q7*0.75))/(Q7*0.75)</f>
        <v>-0.62725617193134287</v>
      </c>
      <c r="U7" s="178">
        <v>81423.4375</v>
      </c>
      <c r="V7" s="177">
        <v>83459.0234375</v>
      </c>
    </row>
    <row r="8" spans="1:22" x14ac:dyDescent="0.25">
      <c r="A8" s="176"/>
      <c r="B8" s="48"/>
      <c r="C8" s="1" t="s">
        <v>180</v>
      </c>
      <c r="D8" s="1" t="s">
        <v>179</v>
      </c>
      <c r="E8" s="183">
        <v>169658</v>
      </c>
      <c r="F8" s="183">
        <v>57070.130000000005</v>
      </c>
      <c r="G8" s="183">
        <v>-112587.87</v>
      </c>
      <c r="H8" s="24">
        <v>-0.66361662874724447</v>
      </c>
      <c r="I8" s="181">
        <v>200000</v>
      </c>
      <c r="J8" s="181">
        <v>87649.15</v>
      </c>
      <c r="K8" s="181">
        <v>-112350.85</v>
      </c>
      <c r="L8" s="22">
        <v>-0.56175425000000001</v>
      </c>
      <c r="M8" s="180">
        <v>203750</v>
      </c>
      <c r="N8" s="180">
        <v>129759.36</v>
      </c>
      <c r="O8" s="180">
        <v>-73990.64</v>
      </c>
      <c r="P8" s="20">
        <v>-0.36314424539877299</v>
      </c>
      <c r="Q8" s="179">
        <v>207593.75</v>
      </c>
      <c r="R8" s="179">
        <v>76944.039999999994</v>
      </c>
      <c r="S8" s="179">
        <f>R8-Q8</f>
        <v>-130649.71</v>
      </c>
      <c r="T8" s="18">
        <f>(R8-(Q8*0.75))/(Q8*0.75)</f>
        <v>-0.50580374730292543</v>
      </c>
      <c r="U8" s="178">
        <v>0</v>
      </c>
      <c r="V8" s="177">
        <v>0</v>
      </c>
    </row>
    <row r="9" spans="1:22" x14ac:dyDescent="0.25">
      <c r="A9" s="176"/>
      <c r="B9" s="48"/>
      <c r="C9" s="1" t="s">
        <v>178</v>
      </c>
      <c r="D9" s="1" t="s">
        <v>177</v>
      </c>
      <c r="E9" s="183">
        <v>73032</v>
      </c>
      <c r="F9" s="183">
        <v>0</v>
      </c>
      <c r="G9" s="183">
        <v>-73032</v>
      </c>
      <c r="H9" s="24">
        <v>-1</v>
      </c>
      <c r="I9" s="181">
        <v>99809</v>
      </c>
      <c r="J9" s="181">
        <v>29817.239999999998</v>
      </c>
      <c r="K9" s="181">
        <v>-69991.760000000009</v>
      </c>
      <c r="L9" s="22">
        <v>-0.70125700087166498</v>
      </c>
      <c r="M9" s="180">
        <v>102304.61</v>
      </c>
      <c r="N9" s="180">
        <v>92721.37</v>
      </c>
      <c r="O9" s="180">
        <v>-9583.2400000000052</v>
      </c>
      <c r="P9" s="20">
        <v>-9.3673589098282134E-2</v>
      </c>
      <c r="Q9" s="179">
        <v>104862.22460937494</v>
      </c>
      <c r="R9" s="179">
        <v>69048</v>
      </c>
      <c r="S9" s="179">
        <f>R9-Q9</f>
        <v>-35814.224609374942</v>
      </c>
      <c r="T9" s="18">
        <f>(R9-(Q9*0.75))/(Q9*0.75)</f>
        <v>-0.12204799828584553</v>
      </c>
      <c r="U9" s="178">
        <v>107483.78022460931</v>
      </c>
      <c r="V9" s="177">
        <v>110170.87473022453</v>
      </c>
    </row>
    <row r="10" spans="1:22" x14ac:dyDescent="0.25">
      <c r="A10" s="176"/>
      <c r="B10" s="48"/>
      <c r="C10" s="1" t="s">
        <v>176</v>
      </c>
      <c r="D10" s="1" t="s">
        <v>175</v>
      </c>
      <c r="E10" s="183">
        <v>25000</v>
      </c>
      <c r="F10" s="183">
        <v>20817.990000000002</v>
      </c>
      <c r="G10" s="183">
        <v>-4182.0099999999984</v>
      </c>
      <c r="H10" s="24">
        <v>-0.16728039999999994</v>
      </c>
      <c r="I10" s="181">
        <v>25625</v>
      </c>
      <c r="J10" s="181">
        <v>25625</v>
      </c>
      <c r="K10" s="181">
        <v>0</v>
      </c>
      <c r="L10" s="22">
        <v>0</v>
      </c>
      <c r="M10" s="180">
        <v>26266</v>
      </c>
      <c r="N10" s="180">
        <v>26266</v>
      </c>
      <c r="O10" s="180">
        <v>0</v>
      </c>
      <c r="P10" s="20">
        <v>0</v>
      </c>
      <c r="Q10" s="179">
        <v>26922.26</v>
      </c>
      <c r="R10" s="179">
        <v>26922.26</v>
      </c>
      <c r="S10" s="179">
        <f>R10-Q10</f>
        <v>0</v>
      </c>
      <c r="T10" s="18">
        <v>0</v>
      </c>
      <c r="U10" s="178">
        <v>27595.322265624985</v>
      </c>
      <c r="V10" s="177">
        <v>28285.205322265607</v>
      </c>
    </row>
    <row r="11" spans="1:22" x14ac:dyDescent="0.25">
      <c r="A11" s="176"/>
      <c r="B11" s="48"/>
      <c r="C11" s="1" t="s">
        <v>31</v>
      </c>
      <c r="D11" s="1" t="s">
        <v>174</v>
      </c>
      <c r="E11" s="183">
        <v>0</v>
      </c>
      <c r="F11" s="183">
        <v>0</v>
      </c>
      <c r="G11" s="183">
        <v>0</v>
      </c>
      <c r="H11" s="24">
        <v>0</v>
      </c>
      <c r="I11" s="181">
        <v>0</v>
      </c>
      <c r="J11" s="181">
        <v>0</v>
      </c>
      <c r="K11" s="181">
        <v>0</v>
      </c>
      <c r="L11" s="22">
        <v>0</v>
      </c>
      <c r="M11" s="180">
        <v>0</v>
      </c>
      <c r="N11" s="180">
        <v>0</v>
      </c>
      <c r="O11" s="180">
        <v>0</v>
      </c>
      <c r="P11" s="20">
        <v>0</v>
      </c>
      <c r="Q11" s="179">
        <v>0</v>
      </c>
      <c r="R11" s="179">
        <v>0</v>
      </c>
      <c r="S11" s="179">
        <f>R11-Q11</f>
        <v>0</v>
      </c>
      <c r="T11" s="18">
        <v>0</v>
      </c>
      <c r="U11" s="178">
        <v>110000</v>
      </c>
      <c r="V11" s="177">
        <v>0</v>
      </c>
    </row>
    <row r="12" spans="1:22" x14ac:dyDescent="0.25">
      <c r="A12" s="176"/>
      <c r="B12" s="48"/>
      <c r="C12" s="175" t="s">
        <v>34</v>
      </c>
      <c r="D12" s="175"/>
      <c r="E12" s="15">
        <f>SUM(E3:E11)</f>
        <v>427472</v>
      </c>
      <c r="F12" s="15">
        <f>SUM(F3:F11)</f>
        <v>114774.68000000001</v>
      </c>
      <c r="G12" s="15">
        <f>SUM(G3:G11)</f>
        <v>-312697.32</v>
      </c>
      <c r="H12" s="14">
        <f>(F12-E12)/E12</f>
        <v>-0.73150363064715351</v>
      </c>
      <c r="I12" s="13">
        <f>SUM(I3:I11)</f>
        <v>626211</v>
      </c>
      <c r="J12" s="13">
        <f>SUM(J3:J11)</f>
        <v>238132.83</v>
      </c>
      <c r="K12" s="13">
        <f>SUM(K3:K11)</f>
        <v>-388078.17000000004</v>
      </c>
      <c r="L12" s="12">
        <f>(J12-I12)/I12</f>
        <v>-0.61972429420754349</v>
      </c>
      <c r="M12" s="11">
        <f>SUM(M3:M11)</f>
        <v>2910107.2399999998</v>
      </c>
      <c r="N12" s="11">
        <f>SUM(N3:N11)</f>
        <v>2511847.44</v>
      </c>
      <c r="O12" s="11">
        <f>SUM(O3:O11)</f>
        <v>-398259.80000000016</v>
      </c>
      <c r="P12" s="10">
        <f>(N12-M12)/M12</f>
        <v>-0.13685399442530505</v>
      </c>
      <c r="Q12" s="9">
        <f>SUM(Q3:Q11)</f>
        <v>3053999.7346093748</v>
      </c>
      <c r="R12" s="9">
        <f>SUM(R3:R11)</f>
        <v>1668394.61</v>
      </c>
      <c r="S12" s="9">
        <f>SUM(S3:S11)</f>
        <v>-1385605.1246093751</v>
      </c>
      <c r="T12" s="8">
        <f>((R12-Q12)/Q12)*0.75</f>
        <v>-0.34027633718506251</v>
      </c>
      <c r="U12" s="7">
        <f>SUM(U3:U11)</f>
        <v>2514355.589990234</v>
      </c>
      <c r="V12" s="6">
        <f>SUM(V3:V11)</f>
        <v>2436179.6047399901</v>
      </c>
    </row>
    <row r="13" spans="1:22" x14ac:dyDescent="0.25">
      <c r="A13" s="176"/>
      <c r="C13" s="1"/>
      <c r="D13" s="1"/>
      <c r="E13" s="182"/>
      <c r="F13" s="182"/>
      <c r="G13" s="182"/>
      <c r="H13" s="24"/>
      <c r="I13" s="181"/>
      <c r="J13" s="181"/>
      <c r="K13" s="181"/>
      <c r="L13" s="22"/>
      <c r="M13" s="180"/>
      <c r="N13" s="180"/>
      <c r="O13" s="180"/>
      <c r="P13" s="20"/>
      <c r="Q13" s="179"/>
      <c r="R13" s="179"/>
      <c r="S13" s="179"/>
      <c r="T13" s="18"/>
      <c r="U13" s="178"/>
      <c r="V13" s="177"/>
    </row>
    <row r="14" spans="1:22" x14ac:dyDescent="0.25">
      <c r="A14" s="176"/>
      <c r="B14" s="48" t="s">
        <v>35</v>
      </c>
      <c r="C14" s="1" t="s">
        <v>173</v>
      </c>
      <c r="D14" s="1" t="s">
        <v>172</v>
      </c>
      <c r="E14" s="183">
        <v>555440</v>
      </c>
      <c r="F14" s="183">
        <v>268092.06</v>
      </c>
      <c r="G14" s="183">
        <v>-287347.94</v>
      </c>
      <c r="H14" s="24">
        <v>-0.51733389745066971</v>
      </c>
      <c r="I14" s="181">
        <v>684005</v>
      </c>
      <c r="J14" s="181">
        <v>683438.9</v>
      </c>
      <c r="K14" s="181">
        <v>-566.09999999997672</v>
      </c>
      <c r="L14" s="22">
        <v>-8.2762552905311611E-4</v>
      </c>
      <c r="M14" s="180">
        <v>717180.13</v>
      </c>
      <c r="N14" s="180">
        <v>716694.3</v>
      </c>
      <c r="O14" s="180">
        <v>-485.82999999995809</v>
      </c>
      <c r="P14" s="20">
        <v>-6.7741698309455099E-4</v>
      </c>
      <c r="Q14" s="179">
        <v>697044</v>
      </c>
      <c r="R14" s="179">
        <v>493118.14999999997</v>
      </c>
      <c r="S14" s="179">
        <f>-203925.85*0.75</f>
        <v>-152944.38750000001</v>
      </c>
      <c r="T14" s="18">
        <f>(R14-(Q14*0.75))/(Q14*0.75)</f>
        <v>-5.6744098411769389E-2</v>
      </c>
      <c r="U14" s="178">
        <v>1568320</v>
      </c>
      <c r="V14" s="177">
        <v>2334727</v>
      </c>
    </row>
    <row r="15" spans="1:22" x14ac:dyDescent="0.25">
      <c r="A15" s="176"/>
      <c r="B15" s="48"/>
      <c r="C15" s="1" t="s">
        <v>171</v>
      </c>
      <c r="D15" s="1" t="s">
        <v>170</v>
      </c>
      <c r="E15" s="183">
        <v>598540.55999999994</v>
      </c>
      <c r="F15" s="183">
        <v>450766.01</v>
      </c>
      <c r="G15" s="183">
        <v>-147774.54999999993</v>
      </c>
      <c r="H15" s="24">
        <v>-0.24689145544288585</v>
      </c>
      <c r="I15" s="181">
        <v>689596</v>
      </c>
      <c r="J15" s="181">
        <v>688700.45</v>
      </c>
      <c r="K15" s="181">
        <v>-895.55000000004657</v>
      </c>
      <c r="L15" s="22">
        <v>-1.298658924935827E-3</v>
      </c>
      <c r="M15" s="180">
        <v>828636.02</v>
      </c>
      <c r="N15" s="180">
        <v>820713.41</v>
      </c>
      <c r="O15" s="180">
        <v>-7922.609999999986</v>
      </c>
      <c r="P15" s="20">
        <v>-9.5610253582748984E-3</v>
      </c>
      <c r="Q15" s="179">
        <v>955016</v>
      </c>
      <c r="R15" s="179">
        <v>588649.94999999995</v>
      </c>
      <c r="S15" s="179">
        <f>-366366.05*0.75</f>
        <v>-274774.53749999998</v>
      </c>
      <c r="T15" s="18">
        <f>(R15-(Q15*0.75))/(Q15*0.75)</f>
        <v>-0.17816392604940656</v>
      </c>
      <c r="U15" s="178">
        <v>1101542</v>
      </c>
      <c r="V15" s="177">
        <v>1193001</v>
      </c>
    </row>
    <row r="16" spans="1:22" x14ac:dyDescent="0.25">
      <c r="A16" s="176"/>
      <c r="B16" s="48"/>
      <c r="C16" s="1" t="s">
        <v>169</v>
      </c>
      <c r="D16" s="1" t="s">
        <v>168</v>
      </c>
      <c r="E16" s="183">
        <v>213110</v>
      </c>
      <c r="F16" s="183">
        <v>182315.92</v>
      </c>
      <c r="G16" s="183">
        <v>-30794.079999999987</v>
      </c>
      <c r="H16" s="24">
        <v>-0.14449852189010365</v>
      </c>
      <c r="I16" s="181">
        <v>314190</v>
      </c>
      <c r="J16" s="181">
        <v>126936.51</v>
      </c>
      <c r="K16" s="181">
        <v>-187253.49</v>
      </c>
      <c r="L16" s="22">
        <v>-0.59598806454693021</v>
      </c>
      <c r="M16" s="180">
        <v>322044.75</v>
      </c>
      <c r="N16" s="180">
        <v>284649.82</v>
      </c>
      <c r="O16" s="180">
        <v>-37394.929999999993</v>
      </c>
      <c r="P16" s="20">
        <v>-0.11611718557747019</v>
      </c>
      <c r="Q16" s="179">
        <v>355474.95229262486</v>
      </c>
      <c r="R16" s="179">
        <v>265875.42000000004</v>
      </c>
      <c r="S16" s="179">
        <f>-89599.5322926248*0.75</f>
        <v>-67199.6492194686</v>
      </c>
      <c r="T16" s="18">
        <f>(R16-(Q16*0.75))/(Q16*0.75)</f>
        <v>-2.741099721205367E-3</v>
      </c>
      <c r="U16" s="178">
        <v>364361.82609994046</v>
      </c>
      <c r="V16" s="177">
        <v>373470.87175243895</v>
      </c>
    </row>
    <row r="17" spans="1:22" x14ac:dyDescent="0.25">
      <c r="A17" s="176"/>
      <c r="B17" s="48"/>
      <c r="C17" s="1" t="s">
        <v>167</v>
      </c>
      <c r="D17" s="1" t="s">
        <v>166</v>
      </c>
      <c r="E17" s="183">
        <v>48579.92</v>
      </c>
      <c r="F17" s="183">
        <v>48579.92</v>
      </c>
      <c r="G17" s="183">
        <v>0</v>
      </c>
      <c r="H17" s="24">
        <v>0</v>
      </c>
      <c r="I17" s="181">
        <v>68795</v>
      </c>
      <c r="J17" s="181">
        <v>39848.82</v>
      </c>
      <c r="K17" s="181">
        <v>-28946.18</v>
      </c>
      <c r="L17" s="22">
        <v>-0.42075993894905156</v>
      </c>
      <c r="M17" s="180">
        <v>70514.880000000005</v>
      </c>
      <c r="N17" s="180">
        <v>56614.94</v>
      </c>
      <c r="O17" s="180">
        <v>-13899.940000000002</v>
      </c>
      <c r="P17" s="20">
        <v>-0.19712066446117474</v>
      </c>
      <c r="Q17" s="179">
        <v>77818.323899999974</v>
      </c>
      <c r="R17" s="179">
        <v>46316.71</v>
      </c>
      <c r="S17" s="179">
        <f>-31501.6139*0.75</f>
        <v>-23626.210425000001</v>
      </c>
      <c r="T17" s="18">
        <f>(R17-(Q17*0.75))/(Q17*0.75)</f>
        <v>-0.20641295984873623</v>
      </c>
      <c r="U17" s="178">
        <v>79763.781997499973</v>
      </c>
      <c r="V17" s="177">
        <v>81757.876547437467</v>
      </c>
    </row>
    <row r="18" spans="1:22" x14ac:dyDescent="0.25">
      <c r="A18" s="176"/>
      <c r="B18" s="48"/>
      <c r="C18" s="1" t="s">
        <v>165</v>
      </c>
      <c r="D18" s="1" t="s">
        <v>164</v>
      </c>
      <c r="E18" s="183">
        <v>925600.52</v>
      </c>
      <c r="F18" s="183">
        <v>925600.52</v>
      </c>
      <c r="G18" s="183">
        <v>0</v>
      </c>
      <c r="H18" s="24">
        <v>0</v>
      </c>
      <c r="I18" s="181">
        <v>1358838</v>
      </c>
      <c r="J18" s="181">
        <v>668265.57999999996</v>
      </c>
      <c r="K18" s="181">
        <v>-690572.42</v>
      </c>
      <c r="L18" s="22">
        <v>-0.50820805717826556</v>
      </c>
      <c r="M18" s="180">
        <v>1271008.95</v>
      </c>
      <c r="N18" s="180">
        <v>656143.81000000006</v>
      </c>
      <c r="O18" s="180">
        <v>-614865.1399999999</v>
      </c>
      <c r="P18" s="20">
        <v>-0.48376145581036223</v>
      </c>
      <c r="Q18" s="179">
        <v>1459300</v>
      </c>
      <c r="R18" s="179">
        <v>479083.49</v>
      </c>
      <c r="S18" s="179">
        <f>-980216.51*0.75</f>
        <v>-735162.38250000007</v>
      </c>
      <c r="T18" s="18">
        <f>(R18-(Q18*0.75))/(Q18*0.75)</f>
        <v>-0.56227096096301876</v>
      </c>
      <c r="U18" s="178">
        <v>1495782.4999999998</v>
      </c>
      <c r="V18" s="177">
        <v>1533177.0624999995</v>
      </c>
    </row>
    <row r="19" spans="1:22" x14ac:dyDescent="0.25">
      <c r="A19" s="176"/>
      <c r="B19" s="48"/>
      <c r="C19" s="1" t="s">
        <v>163</v>
      </c>
      <c r="D19" s="1" t="s">
        <v>162</v>
      </c>
      <c r="E19" s="183">
        <v>786452</v>
      </c>
      <c r="F19" s="183">
        <v>78009.440000000002</v>
      </c>
      <c r="G19" s="183">
        <v>-708442.56</v>
      </c>
      <c r="H19" s="24">
        <v>-0.90080839008610836</v>
      </c>
      <c r="I19" s="181">
        <v>1461988</v>
      </c>
      <c r="J19" s="181">
        <v>210034.02</v>
      </c>
      <c r="K19" s="181">
        <v>-1251953.98</v>
      </c>
      <c r="L19" s="22">
        <v>-0.85633670043803367</v>
      </c>
      <c r="M19" s="180">
        <v>392899.7</v>
      </c>
      <c r="N19" s="180">
        <v>230963.16</v>
      </c>
      <c r="O19" s="180">
        <v>-161936.54</v>
      </c>
      <c r="P19" s="20">
        <v>-0.41215745392526387</v>
      </c>
      <c r="Q19" s="179">
        <v>1618333</v>
      </c>
      <c r="R19" s="179">
        <v>568542.93999999994</v>
      </c>
      <c r="S19" s="179">
        <f>-1049790.06*0.75</f>
        <v>-787342.54500000004</v>
      </c>
      <c r="T19" s="18">
        <f>(R19-(Q19*0.75))/(Q19*0.75)</f>
        <v>-0.53158141536177461</v>
      </c>
      <c r="U19" s="178">
        <v>1658791.0584999998</v>
      </c>
      <c r="V19" s="177">
        <v>3138036</v>
      </c>
    </row>
    <row r="20" spans="1:22" x14ac:dyDescent="0.25">
      <c r="A20" s="176"/>
      <c r="B20" s="48"/>
      <c r="C20" s="1" t="s">
        <v>161</v>
      </c>
      <c r="D20" s="1" t="s">
        <v>160</v>
      </c>
      <c r="E20" s="183">
        <v>0</v>
      </c>
      <c r="F20" s="183">
        <v>0</v>
      </c>
      <c r="G20" s="183">
        <v>0</v>
      </c>
      <c r="H20" s="24">
        <v>0</v>
      </c>
      <c r="I20" s="181">
        <v>0</v>
      </c>
      <c r="J20" s="181">
        <v>0</v>
      </c>
      <c r="K20" s="181">
        <v>0</v>
      </c>
      <c r="L20" s="22">
        <v>0</v>
      </c>
      <c r="M20" s="180">
        <v>0</v>
      </c>
      <c r="N20" s="180">
        <v>0</v>
      </c>
      <c r="O20" s="180">
        <v>0</v>
      </c>
      <c r="P20" s="20">
        <v>0</v>
      </c>
      <c r="Q20" s="179">
        <v>0</v>
      </c>
      <c r="R20" s="179">
        <v>0</v>
      </c>
      <c r="S20" s="179">
        <v>0</v>
      </c>
      <c r="T20" s="18"/>
      <c r="U20" s="178">
        <v>0</v>
      </c>
      <c r="V20" s="177">
        <v>525660.55000000005</v>
      </c>
    </row>
    <row r="21" spans="1:22" x14ac:dyDescent="0.25">
      <c r="A21" s="176"/>
      <c r="B21" s="48"/>
      <c r="C21" s="1" t="s">
        <v>159</v>
      </c>
      <c r="D21" s="1" t="s">
        <v>158</v>
      </c>
      <c r="E21" s="183">
        <v>0</v>
      </c>
      <c r="F21" s="183">
        <v>0</v>
      </c>
      <c r="G21" s="183">
        <v>0</v>
      </c>
      <c r="H21" s="24">
        <v>0</v>
      </c>
      <c r="I21" s="181">
        <v>0</v>
      </c>
      <c r="J21" s="181">
        <v>0</v>
      </c>
      <c r="K21" s="181">
        <v>0</v>
      </c>
      <c r="L21" s="22">
        <v>0</v>
      </c>
      <c r="M21" s="180">
        <v>0</v>
      </c>
      <c r="N21" s="180">
        <v>0</v>
      </c>
      <c r="O21" s="180">
        <v>0</v>
      </c>
      <c r="P21" s="20">
        <v>0</v>
      </c>
      <c r="Q21" s="179">
        <v>0</v>
      </c>
      <c r="R21" s="179">
        <v>0</v>
      </c>
      <c r="S21" s="179">
        <v>0</v>
      </c>
      <c r="T21" s="18"/>
      <c r="U21" s="178">
        <v>507000</v>
      </c>
      <c r="V21" s="177">
        <v>1000069.2017499999</v>
      </c>
    </row>
    <row r="22" spans="1:22" x14ac:dyDescent="0.25">
      <c r="A22" s="176"/>
      <c r="B22" s="48"/>
      <c r="C22" s="1" t="s">
        <v>50</v>
      </c>
      <c r="D22" s="1" t="s">
        <v>157</v>
      </c>
      <c r="E22" s="183">
        <v>348385</v>
      </c>
      <c r="F22" s="183">
        <v>101458.54</v>
      </c>
      <c r="G22" s="183">
        <v>-246926.46000000002</v>
      </c>
      <c r="H22" s="24">
        <v>-0.70877466021786251</v>
      </c>
      <c r="I22" s="181">
        <v>480095</v>
      </c>
      <c r="J22" s="181">
        <v>362583.64</v>
      </c>
      <c r="K22" s="181">
        <v>-117511.35999999999</v>
      </c>
      <c r="L22" s="22">
        <v>-0.24476688988637663</v>
      </c>
      <c r="M22" s="180">
        <v>492097.38</v>
      </c>
      <c r="N22" s="180">
        <v>363677.2</v>
      </c>
      <c r="O22" s="180">
        <v>-128420.18</v>
      </c>
      <c r="P22" s="20">
        <v>-0.26096497404639707</v>
      </c>
      <c r="Q22" s="179">
        <v>774447.94142889371</v>
      </c>
      <c r="R22" s="179">
        <v>319409.18</v>
      </c>
      <c r="S22" s="179">
        <f>-455038.761428894*0.75</f>
        <v>-341279.07107167051</v>
      </c>
      <c r="T22" s="18">
        <f>(R22-(Q22*0.75))/(Q22*0.75)</f>
        <v>-0.45008710865587737</v>
      </c>
      <c r="U22" s="178">
        <v>1016334.174989616</v>
      </c>
      <c r="V22" s="177">
        <v>1526984.9343824813</v>
      </c>
    </row>
    <row r="23" spans="1:22" x14ac:dyDescent="0.25">
      <c r="A23" s="176"/>
      <c r="B23" s="48"/>
      <c r="C23" s="1" t="s">
        <v>156</v>
      </c>
      <c r="D23" s="1" t="s">
        <v>155</v>
      </c>
      <c r="E23" s="183">
        <v>26266</v>
      </c>
      <c r="F23" s="183">
        <v>26266</v>
      </c>
      <c r="G23" s="183">
        <v>0</v>
      </c>
      <c r="H23" s="24">
        <v>0</v>
      </c>
      <c r="I23" s="181">
        <v>26923</v>
      </c>
      <c r="J23" s="181">
        <v>26923</v>
      </c>
      <c r="K23" s="181">
        <v>0</v>
      </c>
      <c r="L23" s="22">
        <v>0</v>
      </c>
      <c r="M23" s="180">
        <v>27595</v>
      </c>
      <c r="N23" s="180">
        <v>27595</v>
      </c>
      <c r="O23" s="180">
        <v>0</v>
      </c>
      <c r="P23" s="20">
        <v>0</v>
      </c>
      <c r="Q23" s="179">
        <v>28285</v>
      </c>
      <c r="R23" s="179">
        <v>21213.75</v>
      </c>
      <c r="S23" s="179">
        <f>-7071.25*0.75</f>
        <v>-5303.4375</v>
      </c>
      <c r="T23" s="18">
        <f>(R23-(Q23*0.75))/(Q23*0.75)</f>
        <v>0</v>
      </c>
      <c r="U23" s="178">
        <v>28992</v>
      </c>
      <c r="V23" s="177">
        <v>29717</v>
      </c>
    </row>
    <row r="24" spans="1:22" x14ac:dyDescent="0.25">
      <c r="A24" s="176"/>
      <c r="B24" s="48"/>
      <c r="C24" s="1" t="s">
        <v>154</v>
      </c>
      <c r="D24" s="1" t="s">
        <v>153</v>
      </c>
      <c r="E24" s="183">
        <v>6300</v>
      </c>
      <c r="F24" s="183">
        <v>1335.15</v>
      </c>
      <c r="G24" s="183">
        <v>-4964.8500000000004</v>
      </c>
      <c r="H24" s="24">
        <v>-0.78807142857142864</v>
      </c>
      <c r="I24" s="181">
        <v>15000</v>
      </c>
      <c r="J24" s="181">
        <v>3560.4</v>
      </c>
      <c r="K24" s="181">
        <v>-11439.6</v>
      </c>
      <c r="L24" s="22">
        <v>-0.76263999999999998</v>
      </c>
      <c r="M24" s="180">
        <v>53844.53</v>
      </c>
      <c r="N24" s="180">
        <v>5040</v>
      </c>
      <c r="O24" s="180">
        <v>-48804.53</v>
      </c>
      <c r="P24" s="20">
        <v>-0.9063971772063012</v>
      </c>
      <c r="Q24" s="179">
        <v>33190.639999999999</v>
      </c>
      <c r="R24" s="179">
        <v>20581.62</v>
      </c>
      <c r="S24" s="179">
        <f>-12609.02*0.75</f>
        <v>-9456.7649999999994</v>
      </c>
      <c r="T24" s="18">
        <f>(R24-(Q24*0.75))/(Q24*0.75)</f>
        <v>-0.17319581665192357</v>
      </c>
      <c r="U24" s="178">
        <v>56570.410644531214</v>
      </c>
      <c r="V24" s="177">
        <v>57984.670910644491</v>
      </c>
    </row>
    <row r="25" spans="1:22" x14ac:dyDescent="0.25">
      <c r="A25" s="176"/>
      <c r="B25" s="48"/>
      <c r="C25" s="1" t="s">
        <v>152</v>
      </c>
      <c r="D25" s="1" t="s">
        <v>151</v>
      </c>
      <c r="E25" s="183">
        <v>20000</v>
      </c>
      <c r="F25" s="183">
        <v>20000</v>
      </c>
      <c r="G25" s="183">
        <v>0</v>
      </c>
      <c r="H25" s="24">
        <v>0</v>
      </c>
      <c r="I25" s="181">
        <v>96920</v>
      </c>
      <c r="J25" s="181">
        <v>9423.73</v>
      </c>
      <c r="K25" s="181">
        <v>-87496.27</v>
      </c>
      <c r="L25" s="22">
        <v>-0.90276795295088741</v>
      </c>
      <c r="M25" s="180">
        <v>99000</v>
      </c>
      <c r="N25" s="180">
        <v>9508.8799999999992</v>
      </c>
      <c r="O25" s="180">
        <v>-89491.12</v>
      </c>
      <c r="P25" s="20">
        <v>-0.90395070707070702</v>
      </c>
      <c r="Q25" s="179">
        <v>101475</v>
      </c>
      <c r="R25" s="179">
        <v>27373.82</v>
      </c>
      <c r="S25" s="179">
        <f>-74101.18*0.75</f>
        <v>-55575.884999999995</v>
      </c>
      <c r="T25" s="18">
        <f>(R25-(Q25*0.75))/(Q25*0.75)</f>
        <v>-0.64032099860392544</v>
      </c>
      <c r="U25" s="178">
        <v>104011.87499999997</v>
      </c>
      <c r="V25" s="177">
        <v>106612.17187499996</v>
      </c>
    </row>
    <row r="26" spans="1:22" x14ac:dyDescent="0.25">
      <c r="A26" s="176"/>
      <c r="B26" s="48"/>
      <c r="C26" s="1" t="s">
        <v>150</v>
      </c>
      <c r="D26" s="1" t="s">
        <v>149</v>
      </c>
      <c r="E26" s="183">
        <v>0</v>
      </c>
      <c r="F26" s="183">
        <v>0</v>
      </c>
      <c r="G26" s="183">
        <v>0</v>
      </c>
      <c r="H26" s="24">
        <v>0</v>
      </c>
      <c r="I26" s="181">
        <v>0</v>
      </c>
      <c r="J26" s="181">
        <v>0</v>
      </c>
      <c r="K26" s="181">
        <v>0</v>
      </c>
      <c r="L26" s="22">
        <v>0</v>
      </c>
      <c r="M26" s="180">
        <v>0</v>
      </c>
      <c r="N26" s="180">
        <v>0</v>
      </c>
      <c r="O26" s="180">
        <v>0</v>
      </c>
      <c r="P26" s="20">
        <v>0</v>
      </c>
      <c r="Q26" s="179">
        <v>0</v>
      </c>
      <c r="R26" s="179">
        <v>0</v>
      </c>
      <c r="S26" s="179">
        <v>0</v>
      </c>
      <c r="T26" s="18"/>
      <c r="U26" s="178">
        <v>662500</v>
      </c>
      <c r="V26" s="177">
        <v>679062.49999999988</v>
      </c>
    </row>
    <row r="27" spans="1:22" x14ac:dyDescent="0.25">
      <c r="A27" s="176"/>
      <c r="B27" s="48"/>
      <c r="C27" s="1" t="s">
        <v>148</v>
      </c>
      <c r="D27" s="1" t="s">
        <v>147</v>
      </c>
      <c r="E27" s="183">
        <v>5000</v>
      </c>
      <c r="F27" s="183">
        <v>637.33999999999992</v>
      </c>
      <c r="G27" s="183">
        <v>-4362.66</v>
      </c>
      <c r="H27" s="24">
        <v>-0.87253199999999997</v>
      </c>
      <c r="I27" s="181">
        <v>5000</v>
      </c>
      <c r="J27" s="181">
        <v>182.78</v>
      </c>
      <c r="K27" s="181">
        <v>-4817.22</v>
      </c>
      <c r="L27" s="22">
        <v>-0.96344400000000008</v>
      </c>
      <c r="M27" s="180">
        <v>53904.7</v>
      </c>
      <c r="N27" s="180">
        <v>0</v>
      </c>
      <c r="O27" s="180">
        <v>-53904.7</v>
      </c>
      <c r="P27" s="20">
        <v>-1</v>
      </c>
      <c r="Q27" s="179">
        <v>13252.32</v>
      </c>
      <c r="R27" s="179">
        <v>7962.19</v>
      </c>
      <c r="S27" s="179">
        <f>-5290.13*0.75</f>
        <v>-3967.5974999999999</v>
      </c>
      <c r="T27" s="18">
        <f>(R27-(Q27*0.75))/(Q27*0.75)</f>
        <v>-0.19891359902769229</v>
      </c>
      <c r="U27" s="178">
        <v>56633.628078426489</v>
      </c>
      <c r="V27" s="177">
        <v>58049.468780387149</v>
      </c>
    </row>
    <row r="28" spans="1:22" x14ac:dyDescent="0.25">
      <c r="A28" s="176"/>
      <c r="B28" s="48"/>
      <c r="C28" s="1" t="s">
        <v>146</v>
      </c>
      <c r="D28" s="1" t="s">
        <v>145</v>
      </c>
      <c r="E28" s="183">
        <v>0</v>
      </c>
      <c r="F28" s="183">
        <v>0</v>
      </c>
      <c r="G28" s="183">
        <v>0</v>
      </c>
      <c r="H28" s="24">
        <v>0</v>
      </c>
      <c r="I28" s="181">
        <v>0</v>
      </c>
      <c r="J28" s="181">
        <v>0</v>
      </c>
      <c r="K28" s="181">
        <v>0</v>
      </c>
      <c r="L28" s="22">
        <v>0</v>
      </c>
      <c r="M28" s="180">
        <v>0</v>
      </c>
      <c r="N28" s="180">
        <v>0</v>
      </c>
      <c r="O28" s="180">
        <v>0</v>
      </c>
      <c r="P28" s="20">
        <v>0</v>
      </c>
      <c r="Q28" s="179">
        <v>375439</v>
      </c>
      <c r="R28" s="179">
        <v>274428.34000000003</v>
      </c>
      <c r="S28" s="179">
        <f>-101010.66*0.75</f>
        <v>-75757.994999999995</v>
      </c>
      <c r="T28" s="18">
        <f>(R28-(Q28*0.75))/(Q28*0.75)</f>
        <v>-2.5395727845712972E-2</v>
      </c>
      <c r="U28" s="178">
        <v>439000</v>
      </c>
      <c r="V28" s="177">
        <v>449974.99999999994</v>
      </c>
    </row>
    <row r="29" spans="1:22" x14ac:dyDescent="0.25">
      <c r="A29" s="176"/>
      <c r="B29" s="48"/>
      <c r="C29" s="175" t="s">
        <v>60</v>
      </c>
      <c r="D29" s="175"/>
      <c r="E29" s="15">
        <f>SUM(E14:E28)</f>
        <v>3533674</v>
      </c>
      <c r="F29" s="15">
        <f>SUM(F14:F28)</f>
        <v>2103060.9</v>
      </c>
      <c r="G29" s="15">
        <f>SUM(G14:G28)</f>
        <v>-1430613.0999999999</v>
      </c>
      <c r="H29" s="14">
        <f>(F29-E29)/E29</f>
        <v>-0.40485146620769208</v>
      </c>
      <c r="I29" s="13">
        <f>SUM(I14:I28)</f>
        <v>5201350</v>
      </c>
      <c r="J29" s="13">
        <f>SUM(J14:J28)</f>
        <v>2819897.83</v>
      </c>
      <c r="K29" s="13">
        <f>SUM(K14:K28)</f>
        <v>-2381452.17</v>
      </c>
      <c r="L29" s="12">
        <f>(J29-I29)/I29</f>
        <v>-0.45785270554759822</v>
      </c>
      <c r="M29" s="11">
        <f>SUM(M14:M28)</f>
        <v>4328726.04</v>
      </c>
      <c r="N29" s="11">
        <f>SUM(N14:N28)</f>
        <v>3171600.5200000005</v>
      </c>
      <c r="O29" s="11">
        <f>SUM(O14:O28)</f>
        <v>-1157125.5199999998</v>
      </c>
      <c r="P29" s="10">
        <f>(N29-M29)/M29</f>
        <v>-0.26731317928357495</v>
      </c>
      <c r="Q29" s="9">
        <f>SUM(Q14:Q28)</f>
        <v>6489076.1776215183</v>
      </c>
      <c r="R29" s="9">
        <f>SUM(R14:R28)</f>
        <v>3112555.56</v>
      </c>
      <c r="S29" s="9">
        <f>SUM(S14:S28)</f>
        <v>-2532390.463216139</v>
      </c>
      <c r="T29" s="8">
        <f>((R29-Q29)/Q29)*0.75</f>
        <v>-0.39025438966943238</v>
      </c>
      <c r="U29" s="7">
        <f>SUM(U14:U28)</f>
        <v>9139603.2553100158</v>
      </c>
      <c r="V29" s="6">
        <f>SUM(V14:V28)</f>
        <v>13088285.30849839</v>
      </c>
    </row>
    <row r="30" spans="1:22" x14ac:dyDescent="0.25">
      <c r="A30" s="176"/>
      <c r="C30" s="1"/>
      <c r="D30" s="1"/>
      <c r="E30" s="182"/>
      <c r="F30" s="182"/>
      <c r="G30" s="182"/>
      <c r="H30" s="24"/>
      <c r="I30" s="181"/>
      <c r="J30" s="181"/>
      <c r="K30" s="181"/>
      <c r="L30" s="22"/>
      <c r="M30" s="180"/>
      <c r="N30" s="180"/>
      <c r="O30" s="180"/>
      <c r="P30" s="20"/>
      <c r="Q30" s="179"/>
      <c r="R30" s="179"/>
      <c r="S30" s="179"/>
      <c r="T30" s="18"/>
      <c r="U30" s="178"/>
      <c r="V30" s="177"/>
    </row>
    <row r="31" spans="1:22" x14ac:dyDescent="0.25">
      <c r="A31" s="176"/>
      <c r="C31" s="175" t="s">
        <v>144</v>
      </c>
      <c r="D31" s="175"/>
      <c r="E31" s="15">
        <f>SUM(E29,E12)</f>
        <v>3961146</v>
      </c>
      <c r="F31" s="15">
        <f>SUM(F29,F12)</f>
        <v>2217835.58</v>
      </c>
      <c r="G31" s="15">
        <f>SUM(G29,G12)</f>
        <v>-1743310.42</v>
      </c>
      <c r="H31" s="14">
        <f>(F31-E31)/E31</f>
        <v>-0.44010254103231738</v>
      </c>
      <c r="I31" s="13">
        <f>SUM(I29,I12)</f>
        <v>5827561</v>
      </c>
      <c r="J31" s="13">
        <f>SUM(J29,J12)</f>
        <v>3058030.66</v>
      </c>
      <c r="K31" s="13">
        <f>SUM(K16:K30)</f>
        <v>-4761442.6900000004</v>
      </c>
      <c r="L31" s="12">
        <f>(J31-I31)/I31</f>
        <v>-0.47524690689638427</v>
      </c>
      <c r="M31" s="11">
        <f>SUM(M29,M12)</f>
        <v>7238833.2799999993</v>
      </c>
      <c r="N31" s="11">
        <f>SUM(N29,N12)</f>
        <v>5683447.9600000009</v>
      </c>
      <c r="O31" s="11">
        <f>SUM(O16:O30)</f>
        <v>-2305842.5999999996</v>
      </c>
      <c r="P31" s="10">
        <f>(N31-M31)/M31</f>
        <v>-0.21486685213449183</v>
      </c>
      <c r="Q31" s="9">
        <f>SUM(Q29,Q12)</f>
        <v>9543075.912230894</v>
      </c>
      <c r="R31" s="9">
        <f>SUM(R29,R12)</f>
        <v>4780950.17</v>
      </c>
      <c r="S31" s="9">
        <f>SUM(S29,S12)</f>
        <v>-3917995.5878255144</v>
      </c>
      <c r="T31" s="8">
        <f>((R31-Q31)/Q31)*0.75</f>
        <v>-0.37426028457927624</v>
      </c>
      <c r="U31" s="7">
        <f>SUM(U29,U12)</f>
        <v>11653958.84530025</v>
      </c>
      <c r="V31" s="6">
        <f>SUM(V29,V12)</f>
        <v>15524464.91323838</v>
      </c>
    </row>
    <row r="32" spans="1:22" x14ac:dyDescent="0.25">
      <c r="A32" s="1"/>
      <c r="C32" s="1"/>
      <c r="D32" s="1"/>
    </row>
    <row r="33" spans="1:4" x14ac:dyDescent="0.25">
      <c r="A33" s="1"/>
      <c r="C33" s="1"/>
      <c r="D33" s="1"/>
    </row>
    <row r="34" spans="1:4" x14ac:dyDescent="0.25">
      <c r="A34" s="1"/>
      <c r="C34" s="1"/>
      <c r="D34" s="1"/>
    </row>
    <row r="35" spans="1:4" x14ac:dyDescent="0.25">
      <c r="A35" s="1"/>
      <c r="C35" s="1"/>
      <c r="D35" s="1"/>
    </row>
    <row r="36" spans="1:4" x14ac:dyDescent="0.25">
      <c r="A36" s="1"/>
      <c r="C36" s="1"/>
      <c r="D36" s="1"/>
    </row>
    <row r="37" spans="1:4" x14ac:dyDescent="0.25">
      <c r="A37" s="1"/>
      <c r="C37" s="1"/>
      <c r="D37" s="1"/>
    </row>
    <row r="38" spans="1:4" x14ac:dyDescent="0.25">
      <c r="A38" s="1"/>
      <c r="C38" s="1"/>
      <c r="D38" s="1"/>
    </row>
    <row r="39" spans="1:4" x14ac:dyDescent="0.25">
      <c r="A39" s="1"/>
      <c r="C39" s="1"/>
      <c r="D39" s="1"/>
    </row>
    <row r="40" spans="1:4" x14ac:dyDescent="0.25">
      <c r="A40" s="1"/>
      <c r="C40" s="1"/>
      <c r="D40" s="1"/>
    </row>
    <row r="41" spans="1:4" x14ac:dyDescent="0.25">
      <c r="A41" s="1"/>
      <c r="C41" s="1"/>
      <c r="D41" s="1"/>
    </row>
    <row r="42" spans="1:4" x14ac:dyDescent="0.25">
      <c r="A42" s="1"/>
      <c r="C42" s="1"/>
      <c r="D42" s="1"/>
    </row>
    <row r="43" spans="1:4" x14ac:dyDescent="0.25">
      <c r="A43" s="1"/>
      <c r="C43" s="1"/>
      <c r="D43" s="1"/>
    </row>
    <row r="44" spans="1:4" x14ac:dyDescent="0.25">
      <c r="A44" s="1"/>
      <c r="C44" s="1"/>
      <c r="D44" s="1"/>
    </row>
    <row r="45" spans="1:4" x14ac:dyDescent="0.25">
      <c r="A45" s="1"/>
      <c r="C45" s="1"/>
      <c r="D45" s="1"/>
    </row>
    <row r="46" spans="1:4" x14ac:dyDescent="0.25">
      <c r="A46" s="1"/>
      <c r="C46" s="1"/>
      <c r="D46" s="1"/>
    </row>
    <row r="47" spans="1:4" x14ac:dyDescent="0.25">
      <c r="A47" s="1"/>
      <c r="C47" s="1"/>
      <c r="D47" s="1"/>
    </row>
    <row r="48" spans="1:4" x14ac:dyDescent="0.25">
      <c r="A48" s="1"/>
      <c r="C48" s="1"/>
      <c r="D48" s="1"/>
    </row>
    <row r="49" spans="1:4" x14ac:dyDescent="0.25">
      <c r="A49" s="1"/>
      <c r="C49" s="1"/>
      <c r="D49" s="1"/>
    </row>
    <row r="50" spans="1:4" x14ac:dyDescent="0.25">
      <c r="A50" s="1"/>
      <c r="C50" s="1"/>
      <c r="D50" s="1"/>
    </row>
    <row r="51" spans="1:4" x14ac:dyDescent="0.25">
      <c r="A51" s="1"/>
      <c r="C51" s="1"/>
      <c r="D51" s="1"/>
    </row>
    <row r="52" spans="1:4" x14ac:dyDescent="0.25">
      <c r="A52" s="1"/>
      <c r="C52" s="1"/>
      <c r="D52" s="1"/>
    </row>
  </sheetData>
  <sheetProtection algorithmName="SHA-512" hashValue="/U9ZoYLylLIDJnZR8tBFDg7yZIMz0Ksu9GS50Nn5yR3wuls59IqLzkeKfj7iieqVir0KZV6N1mtkCi6dCxstMQ==" saltValue="KxL7xE3nIq8hZIYWw43+nA==" spinCount="100000" sheet="1" objects="1" scenarios="1"/>
  <mergeCells count="3">
    <mergeCell ref="A3:A31"/>
    <mergeCell ref="B3:B12"/>
    <mergeCell ref="B14:B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9fbeba-495f-4d5d-a754-067132e79c42" xsi:nil="true"/>
    <lcf76f155ced4ddcb4097134ff3c332f xmlns="934faddc-e0f6-4434-9d20-c8174bbe727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166DAF5ED9B9439C420306EEE348F6" ma:contentTypeVersion="15" ma:contentTypeDescription="Create a new document." ma:contentTypeScope="" ma:versionID="cf12de8b2714116c5ebee8c7a55523f7">
  <xsd:schema xmlns:xsd="http://www.w3.org/2001/XMLSchema" xmlns:xs="http://www.w3.org/2001/XMLSchema" xmlns:p="http://schemas.microsoft.com/office/2006/metadata/properties" xmlns:ns2="934faddc-e0f6-4434-9d20-c8174bbe727b" xmlns:ns3="4d9fbeba-495f-4d5d-a754-067132e79c42" targetNamespace="http://schemas.microsoft.com/office/2006/metadata/properties" ma:root="true" ma:fieldsID="7b3472f2d7d57ed99c5f81242cdb8507" ns2:_="" ns3:_="">
    <xsd:import namespace="934faddc-e0f6-4434-9d20-c8174bbe727b"/>
    <xsd:import namespace="4d9fbeba-495f-4d5d-a754-067132e79c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faddc-e0f6-4434-9d20-c8174bbe72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df2d30e-6876-4a14-8cb0-b02ba5b58f4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9fbeba-495f-4d5d-a754-067132e79c4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b60268-3348-48b1-acc6-bd6c7bb3d914}" ma:internalName="TaxCatchAll" ma:showField="CatchAllData" ma:web="4d9fbeba-495f-4d5d-a754-067132e79c4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B6518E-79CC-4E5B-B6F7-9F88EA5004D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C82B62C-4C13-408B-8281-CF3CADDE1A07}">
  <ds:schemaRefs>
    <ds:schemaRef ds:uri="http://schemas.microsoft.com/sharepoint/v3/contenttype/forms"/>
  </ds:schemaRefs>
</ds:datastoreItem>
</file>

<file path=customXml/itemProps3.xml><?xml version="1.0" encoding="utf-8"?>
<ds:datastoreItem xmlns:ds="http://schemas.openxmlformats.org/officeDocument/2006/customXml" ds:itemID="{E716FE9E-8304-4E19-B51D-261E0FCE6F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CAMPO Operating</vt:lpstr>
      <vt:lpstr>CAMPO Op Q&amp;A</vt:lpstr>
      <vt:lpstr>Cary Capital</vt:lpstr>
      <vt:lpstr>Cary Capital Q&amp;A</vt:lpstr>
      <vt:lpstr>Cary Operating</vt:lpstr>
      <vt:lpstr>Cary Operating Q&amp;A</vt:lpstr>
      <vt:lpstr>GoTriangle Capital</vt:lpstr>
      <vt:lpstr>GoTriangle Capital Q&amp;A</vt:lpstr>
      <vt:lpstr>GoTriangle Operating</vt:lpstr>
      <vt:lpstr>GoTriangle Operating Q&amp;A</vt:lpstr>
      <vt:lpstr>Raleigh Capital</vt:lpstr>
      <vt:lpstr>Raleigh Capital Q&amp;A</vt:lpstr>
      <vt:lpstr>Raleigh Operating</vt:lpstr>
      <vt:lpstr>Raleigh Op Q&amp;A</vt:lpstr>
      <vt:lpstr>TDA Operating</vt:lpstr>
      <vt:lpstr>TDA Operating Q&amp;A</vt:lpstr>
      <vt:lpstr>Wake Co Capital</vt:lpstr>
      <vt:lpstr>Wake Co Cap Q&amp;A</vt:lpstr>
      <vt:lpstr>WakeCoOperations</vt:lpstr>
      <vt:lpstr>Wake Co Op Q&amp;A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Mott</dc:creator>
  <cp:keywords/>
  <dc:description/>
  <cp:lastModifiedBy>Steven Mott</cp:lastModifiedBy>
  <cp:revision/>
  <dcterms:created xsi:type="dcterms:W3CDTF">2025-08-04T21:41:28Z</dcterms:created>
  <dcterms:modified xsi:type="dcterms:W3CDTF">2025-10-22T19:45:49Z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0x01010043166DAF5ED9B9439C420306EEE348F6</vt:lpwstr>
  </property>
</Properties>
</file>