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5195" windowHeight="921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Glen</author>
  </authors>
  <commentList>
    <comment ref="A14" authorId="0">
      <text>
        <r>
          <rPr>
            <sz val="10"/>
            <rFont val="Times New Roman"/>
            <family val="1"/>
          </rPr>
          <t>These shares are typically subject to 4 year vesting with a one year cliff.  25% vests if the CEO is still employed on the one year anniversary.  Thereafter, 2.083% vests for each month of employment.  If the CEO is terminated prior to 4 years, then any unvested shares are required to be sold to the Company at the original purchase price.</t>
        </r>
      </text>
    </comment>
    <comment ref="A17" authorId="0">
      <text>
        <r>
          <rPr>
            <sz val="10"/>
            <rFont val="Times New Roman"/>
            <family val="1"/>
          </rPr>
          <t>Evergreen (that is, no dilution) until an aggregate of $2.5M in equity is raised.</t>
        </r>
      </text>
    </comment>
  </commentList>
</comments>
</file>

<file path=xl/sharedStrings.xml><?xml version="1.0" encoding="utf-8"?>
<sst xmlns="http://schemas.openxmlformats.org/spreadsheetml/2006/main" count="32" uniqueCount="28">
  <si>
    <t>CEO Equity Grant 
(Fully-diluted basis)</t>
  </si>
  <si>
    <t>Pre-Money Valuation</t>
  </si>
  <si>
    <t>Investment Amount</t>
  </si>
  <si>
    <t>Stock Option Pool</t>
  </si>
  <si>
    <t>Stock Option Pool
(Fully-diluted basis)</t>
  </si>
  <si>
    <t>I - Hire CEO</t>
  </si>
  <si>
    <t>III - Add Stock Option Plan</t>
  </si>
  <si>
    <t>IV - Seed Financing</t>
  </si>
  <si>
    <t>V - Series A Financing</t>
  </si>
  <si>
    <t>Founders</t>
  </si>
  <si>
    <t>CEO</t>
  </si>
  <si>
    <t>Seed Investors</t>
  </si>
  <si>
    <t>Series A Investors</t>
  </si>
  <si>
    <t>Total</t>
  </si>
  <si>
    <t>I</t>
  </si>
  <si>
    <t>II</t>
  </si>
  <si>
    <t>III</t>
  </si>
  <si>
    <t>IV</t>
  </si>
  <si>
    <t>V</t>
  </si>
  <si>
    <t>Formation</t>
  </si>
  <si>
    <t>IV Calculations</t>
  </si>
  <si>
    <t>V Calculations</t>
  </si>
  <si>
    <t>Post Ant-Dil</t>
  </si>
  <si>
    <t>Up to Anti-Dil</t>
  </si>
  <si>
    <t>Anti-Dilution Protection Stops at:</t>
  </si>
  <si>
    <t>University</t>
  </si>
  <si>
    <t>University Equity Grant
(Fully-diluted basis)</t>
  </si>
  <si>
    <t>II - Sign University License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</si>
</sst>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%"/>
    <numFmt numFmtId="165" formatCode="0.00000000000000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3" xfId="0" applyFont="1" applyFill="1" applyBorder="1" applyAlignment="1">
      <alignment/>
    </xf>
    <xf numFmtId="10" fontId="3" fillId="34" borderId="14" xfId="0" applyNumberFormat="1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3" fillId="34" borderId="0" xfId="0" applyNumberFormat="1" applyFont="1" applyFill="1" applyAlignment="1">
      <alignment/>
    </xf>
    <xf numFmtId="0" fontId="2" fillId="34" borderId="16" xfId="0" applyFont="1" applyFill="1" applyBorder="1" applyAlignment="1">
      <alignment/>
    </xf>
    <xf numFmtId="10" fontId="2" fillId="34" borderId="17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0" fontId="2" fillId="34" borderId="19" xfId="0" applyFont="1" applyFill="1" applyBorder="1" applyAlignment="1">
      <alignment wrapText="1"/>
    </xf>
    <xf numFmtId="10" fontId="2" fillId="34" borderId="20" xfId="0" applyNumberFormat="1" applyFont="1" applyFill="1" applyBorder="1" applyAlignment="1">
      <alignment horizontal="right" vertical="center"/>
    </xf>
    <xf numFmtId="164" fontId="3" fillId="34" borderId="0" xfId="0" applyNumberFormat="1" applyFont="1" applyFill="1" applyAlignment="1">
      <alignment/>
    </xf>
    <xf numFmtId="10" fontId="3" fillId="34" borderId="0" xfId="0" applyNumberFormat="1" applyFont="1" applyFill="1" applyAlignment="1">
      <alignment horizontal="right" vertical="center"/>
    </xf>
    <xf numFmtId="0" fontId="2" fillId="34" borderId="10" xfId="0" applyFont="1" applyFill="1" applyBorder="1" applyAlignment="1">
      <alignment wrapText="1"/>
    </xf>
    <xf numFmtId="10" fontId="2" fillId="34" borderId="12" xfId="0" applyNumberFormat="1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wrapText="1"/>
    </xf>
    <xf numFmtId="42" fontId="2" fillId="34" borderId="18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/>
    </xf>
    <xf numFmtId="42" fontId="2" fillId="34" borderId="12" xfId="0" applyNumberFormat="1" applyFont="1" applyFill="1" applyBorder="1" applyAlignment="1">
      <alignment horizontal="right" vertical="center"/>
    </xf>
    <xf numFmtId="42" fontId="2" fillId="34" borderId="18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123825</xdr:rowOff>
    </xdr:from>
    <xdr:to>
      <xdr:col>6</xdr:col>
      <xdr:colOff>180975</xdr:colOff>
      <xdr:row>1</xdr:row>
      <xdr:rowOff>504825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2382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2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18.421875" style="4" customWidth="1"/>
    <col min="2" max="2" width="14.28125" style="4" bestFit="1" customWidth="1"/>
    <col min="3" max="8" width="9.140625" style="4" customWidth="1"/>
    <col min="9" max="9" width="12.7109375" style="4" hidden="1" customWidth="1"/>
    <col min="10" max="10" width="11.140625" style="4" hidden="1" customWidth="1"/>
    <col min="11" max="11" width="2.8515625" style="4" hidden="1" customWidth="1"/>
    <col min="12" max="12" width="13.140625" style="4" hidden="1" customWidth="1"/>
    <col min="13" max="13" width="12.8515625" style="4" hidden="1" customWidth="1"/>
    <col min="14" max="14" width="17.8515625" style="4" bestFit="1" customWidth="1"/>
    <col min="15" max="16384" width="9.140625" style="4" customWidth="1"/>
  </cols>
  <sheetData>
    <row r="1" ht="12.75"/>
    <row r="2" ht="56.25" customHeight="1"/>
    <row r="3" spans="9:13" ht="13.5" thickBot="1">
      <c r="I3" s="26" t="s">
        <v>20</v>
      </c>
      <c r="J3" s="26"/>
      <c r="L3" s="26" t="s">
        <v>21</v>
      </c>
      <c r="M3" s="26"/>
    </row>
    <row r="4" spans="1:13" ht="15.75">
      <c r="A4" s="1"/>
      <c r="B4" s="2" t="s">
        <v>19</v>
      </c>
      <c r="C4" s="2" t="s">
        <v>14</v>
      </c>
      <c r="D4" s="2" t="s">
        <v>15</v>
      </c>
      <c r="E4" s="2" t="s">
        <v>16</v>
      </c>
      <c r="F4" s="2" t="s">
        <v>17</v>
      </c>
      <c r="G4" s="3" t="s">
        <v>18</v>
      </c>
      <c r="I4" s="4" t="s">
        <v>23</v>
      </c>
      <c r="J4" s="4" t="s">
        <v>22</v>
      </c>
      <c r="L4" s="4" t="s">
        <v>23</v>
      </c>
      <c r="M4" s="4" t="s">
        <v>22</v>
      </c>
    </row>
    <row r="5" spans="1:14" ht="12.75">
      <c r="A5" s="5" t="s">
        <v>9</v>
      </c>
      <c r="B5" s="6">
        <v>1</v>
      </c>
      <c r="C5" s="6">
        <f>B5-C6</f>
        <v>0.7</v>
      </c>
      <c r="D5" s="6">
        <f>(1-D7)*C5</f>
        <v>0.63</v>
      </c>
      <c r="E5" s="6">
        <f>(1-(E7+E8))*C5</f>
        <v>0.48999999999999994</v>
      </c>
      <c r="F5" s="6">
        <f>IF(B25&lt;=B18,(E5/(E5+E6+E8)*(1-(F7+F9))),J5)</f>
        <v>0.3538889909722477</v>
      </c>
      <c r="G5" s="7">
        <f>IF((B25+B29)&lt;=B18,(F5/(F5+F6+F8+F9)*(1-(G7+G10))),M5)</f>
        <v>0.2527778506944627</v>
      </c>
      <c r="I5" s="8">
        <f>(E5/(E5+E6+E8)*(1-(I7+I9)))</f>
        <v>-0.32666687083338436</v>
      </c>
      <c r="J5" s="8">
        <f>(I5/($I$5+$I$6+$I$7+$I$8)*(1-($J$9)))</f>
        <v>0.49000006125004597</v>
      </c>
      <c r="K5" s="8"/>
      <c r="L5" s="8">
        <f>IF(B25&lt;B18,(F5/($F$5+$F$6+$F$8+$F$9)*(1-($L$7+$L$10))),(F5/($F$5+$F$6+$F$7+$F$8+$F$9)*(1-$L$10)))</f>
        <v>0.2696296905555701</v>
      </c>
      <c r="M5" s="8">
        <f>IF($B$25&lt;$B$18,(L5/($L$5+$L$6+$L$7+$L$8+$L$9))*(1-$M$10),L5)</f>
        <v>0.2527778506944627</v>
      </c>
      <c r="N5" s="8"/>
    </row>
    <row r="6" spans="1:14" ht="12.75">
      <c r="A6" s="5" t="s">
        <v>10</v>
      </c>
      <c r="B6" s="6"/>
      <c r="C6" s="6">
        <f>B14</f>
        <v>0.3</v>
      </c>
      <c r="D6" s="6">
        <f>(1-D7)*C6</f>
        <v>0.27</v>
      </c>
      <c r="E6" s="6">
        <f>(1-(E7+E8))*C6</f>
        <v>0.21</v>
      </c>
      <c r="F6" s="6">
        <f>IF(B25&lt;=B18,(E6/(E5+E6+E8)*(1-(F7+F9))),J6)</f>
        <v>0.1516667104166776</v>
      </c>
      <c r="G6" s="7">
        <f>IF((B25+B29)&lt;=B18,(F6/(F5+F6+F8+F9)*(1-(G7+G10))),M6)</f>
        <v>0.10833336458334114</v>
      </c>
      <c r="I6" s="8">
        <f>(E6/(E5+E6+E8)*(1-(I7+I9)))</f>
        <v>-0.14000008750002188</v>
      </c>
      <c r="J6" s="8">
        <f>(I6/($I$5+$I$6+$I$7+$I$8)*(1-($J$9)))</f>
        <v>0.21000002625001973</v>
      </c>
      <c r="K6" s="8"/>
      <c r="L6" s="8">
        <f>IF(B26&lt;B19,(F6/($F$5+$F$6+$F$8+$F$9)*(1-($L$7+$L$10))),(F6/($F$5+$F$6+$F$7+$F$8+$F$9)*(1-$L$10)))</f>
        <v>0.1155555816666729</v>
      </c>
      <c r="M6" s="8">
        <f>IF($B$25&lt;$B$18,(L6/($L$5+$L$6+$L$7+$L$8+$L$9))*(1-$M$10),L6)</f>
        <v>0.10833336458334114</v>
      </c>
      <c r="N6" s="8"/>
    </row>
    <row r="7" spans="1:14" ht="12.75">
      <c r="A7" s="5" t="s">
        <v>25</v>
      </c>
      <c r="B7" s="6"/>
      <c r="C7" s="6"/>
      <c r="D7" s="6">
        <f>B17</f>
        <v>0.1</v>
      </c>
      <c r="E7" s="6">
        <f>D7</f>
        <v>0.1</v>
      </c>
      <c r="F7" s="6">
        <f>IF(B25&lt;=B18,E7,J7)</f>
        <v>0.1</v>
      </c>
      <c r="G7" s="7">
        <f>IF((B25+B29)&lt;=B18,F7,M7)</f>
        <v>0.07142857142857144</v>
      </c>
      <c r="I7" s="8">
        <f>E7</f>
        <v>0.1</v>
      </c>
      <c r="J7" s="8">
        <f>(I7/($I$5+$I$6+$I$7+$I$8)*(1-($J$9)))</f>
        <v>-0.14999992500003753</v>
      </c>
      <c r="K7" s="8"/>
      <c r="L7" s="8">
        <f>IF(B27&lt;B20,(F7/($F$5+$F$6+$F$8+$F$9)*(1-($L$7+$L$10))),(F7/($F$5+$F$6+$F$7+$F$8+$F$9)*(1-$L$10)))</f>
        <v>0.07619047142857144</v>
      </c>
      <c r="M7" s="8">
        <f>IF($B$25&lt;$B$18,(L7/($L$5+$L$6+$L$7+$L$8+$L$9))*(1-$M$10),L7)</f>
        <v>0.07142857142857144</v>
      </c>
      <c r="N7" s="8"/>
    </row>
    <row r="8" spans="1:14" ht="12.75">
      <c r="A8" s="5" t="s">
        <v>3</v>
      </c>
      <c r="B8" s="6"/>
      <c r="C8" s="6"/>
      <c r="D8" s="6"/>
      <c r="E8" s="6">
        <f>B21</f>
        <v>0.2</v>
      </c>
      <c r="F8" s="6">
        <f>IF(B25&lt;=B18,(E8/(E5+E6+E8)*(1-(F7+F9))),J8)</f>
        <v>0.14444448611112154</v>
      </c>
      <c r="G8" s="7">
        <f>IF((B25+B29)&lt;=B18,(F8/(F5+F6+F8+F9)*(1-(G7+G10))),M8)</f>
        <v>0.10317463293651538</v>
      </c>
      <c r="I8" s="8">
        <f>(E8/(E5+E6+E8)*(1-(I7+I9)))</f>
        <v>-0.13333341666668752</v>
      </c>
      <c r="J8" s="8">
        <f>(I8/($I$5+$I$6+$I$7+$I$8)*(1-($J$9)))</f>
        <v>0.20000002500001884</v>
      </c>
      <c r="K8" s="8"/>
      <c r="L8" s="8">
        <f>IF(B28&lt;B21,(F8/($F$5+$F$6+$F$8+$F$9)*(1-($L$7+$L$10))),(F8/($F$5+$F$6+$F$7+$F$8+$F$9)*(1-$L$10)))</f>
        <v>0.11005293492064087</v>
      </c>
      <c r="M8" s="8">
        <f>IF($B$25&lt;$B$18,(L8/($L$5+$L$6+$L$7+$L$8+$L$9))*(1-$M$10),L8)</f>
        <v>0.10317463293651538</v>
      </c>
      <c r="N8" s="8"/>
    </row>
    <row r="9" spans="1:14" ht="12.75">
      <c r="A9" s="5" t="s">
        <v>11</v>
      </c>
      <c r="B9" s="6"/>
      <c r="C9" s="6"/>
      <c r="D9" s="6"/>
      <c r="E9" s="6"/>
      <c r="F9" s="6">
        <f>IF(B25&lt;=B18,(B25/(B24+B25)),J9)</f>
        <v>0.24999981249995312</v>
      </c>
      <c r="G9" s="7">
        <f>IF((B25+B29)&lt;=B18,(F9/(F5+F6+F8+F9)*(1-(G7+G10))),M9)</f>
        <v>0.17857129464282367</v>
      </c>
      <c r="I9" s="8">
        <f>((B18/(B24+B25)))</f>
        <v>1.5000003750000936</v>
      </c>
      <c r="J9" s="8">
        <f>I9+((B25-B18)/(B25+B24))</f>
        <v>0.24999981249995296</v>
      </c>
      <c r="K9" s="8"/>
      <c r="L9" s="8">
        <f>IF(B29&lt;B22,(F9/($F$5+$F$6+$F$8+$F$9)*(1-($L$7+$L$10))),(F9/($F$5+$F$6+$F$7+$F$8+$F$9)*(1-$L$10)))</f>
        <v>0.19047603571425892</v>
      </c>
      <c r="M9" s="8">
        <f>IF($B$25&lt;$B$18,(L9/($L$5+$L$6+$L$7+$L$8+$L$9))*(1-$M$10),L9)</f>
        <v>0.17857129464282367</v>
      </c>
      <c r="N9" s="8"/>
    </row>
    <row r="10" spans="1:14" ht="12.75">
      <c r="A10" s="5" t="s">
        <v>12</v>
      </c>
      <c r="B10" s="6"/>
      <c r="C10" s="6"/>
      <c r="D10" s="6"/>
      <c r="E10" s="6"/>
      <c r="F10" s="6"/>
      <c r="G10" s="7">
        <f>IF((B25+B29)&lt;=B18,B29/(B28+B29),M10)</f>
        <v>0.2857142857142857</v>
      </c>
      <c r="L10" s="8">
        <f>IF(B25&lt;B18,(B18-B25)/(B28+B29),B29/(B28+B29))</f>
        <v>0.2380952857142857</v>
      </c>
      <c r="M10" s="8">
        <f>IF(B25&lt;B18,L10+((B29+B25)-B18)/(B28+B29),L10)</f>
        <v>0.2857142857142857</v>
      </c>
      <c r="N10" s="8"/>
    </row>
    <row r="11" spans="1:14" ht="13.5" thickBot="1">
      <c r="A11" s="9" t="s">
        <v>13</v>
      </c>
      <c r="B11" s="10">
        <f aca="true" t="shared" si="0" ref="B11:G11">SUM(B5:B10)</f>
        <v>1</v>
      </c>
      <c r="C11" s="10">
        <f t="shared" si="0"/>
        <v>1</v>
      </c>
      <c r="D11" s="10">
        <f t="shared" si="0"/>
        <v>1</v>
      </c>
      <c r="E11" s="10">
        <f t="shared" si="0"/>
        <v>1</v>
      </c>
      <c r="F11" s="10">
        <f t="shared" si="0"/>
        <v>1</v>
      </c>
      <c r="G11" s="11">
        <f t="shared" si="0"/>
        <v>1</v>
      </c>
      <c r="I11" s="12">
        <f>SUM(I5:I9)</f>
        <v>0.9999999999999999</v>
      </c>
      <c r="J11" s="12">
        <f>SUM(J5:J9)</f>
        <v>1</v>
      </c>
      <c r="K11" s="12"/>
      <c r="L11" s="12">
        <f>SUM(L5:L10)</f>
        <v>1</v>
      </c>
      <c r="M11" s="12">
        <f>SUM(M5:M10)</f>
        <v>1</v>
      </c>
      <c r="N11" s="8"/>
    </row>
    <row r="12" ht="13.5" thickBot="1">
      <c r="N12" s="8"/>
    </row>
    <row r="13" spans="1:2" ht="16.5" thickBot="1">
      <c r="A13" s="27" t="s">
        <v>5</v>
      </c>
      <c r="B13" s="28"/>
    </row>
    <row r="14" spans="1:11" ht="51.75" thickBot="1">
      <c r="A14" s="13" t="s">
        <v>0</v>
      </c>
      <c r="B14" s="14">
        <v>0.3</v>
      </c>
      <c r="K14" s="15"/>
    </row>
    <row r="15" spans="2:11" ht="13.5" thickBot="1">
      <c r="B15" s="16"/>
      <c r="K15" s="15"/>
    </row>
    <row r="16" spans="1:11" ht="16.5" thickBot="1">
      <c r="A16" s="27" t="s">
        <v>27</v>
      </c>
      <c r="B16" s="28"/>
      <c r="K16" s="15"/>
    </row>
    <row r="17" spans="1:11" ht="51">
      <c r="A17" s="17" t="s">
        <v>26</v>
      </c>
      <c r="B17" s="18">
        <v>0.1</v>
      </c>
      <c r="K17" s="15"/>
    </row>
    <row r="18" spans="1:11" ht="26.25" thickBot="1">
      <c r="A18" s="19" t="s">
        <v>24</v>
      </c>
      <c r="B18" s="20">
        <v>2000000</v>
      </c>
      <c r="K18" s="15"/>
    </row>
    <row r="19" ht="13.5" thickBot="1">
      <c r="B19" s="21"/>
    </row>
    <row r="20" spans="1:2" ht="16.5" thickBot="1">
      <c r="A20" s="27" t="s">
        <v>6</v>
      </c>
      <c r="B20" s="28"/>
    </row>
    <row r="21" spans="1:2" ht="26.25" thickBot="1">
      <c r="A21" s="13" t="s">
        <v>4</v>
      </c>
      <c r="B21" s="14">
        <v>0.2</v>
      </c>
    </row>
    <row r="22" ht="13.5" thickBot="1">
      <c r="B22" s="21"/>
    </row>
    <row r="23" spans="1:2" ht="16.5" thickBot="1">
      <c r="A23" s="27" t="s">
        <v>7</v>
      </c>
      <c r="B23" s="28"/>
    </row>
    <row r="24" spans="1:2" ht="12.75">
      <c r="A24" s="22" t="s">
        <v>1</v>
      </c>
      <c r="B24" s="23">
        <v>1000000</v>
      </c>
    </row>
    <row r="25" spans="1:2" ht="13.5" thickBot="1">
      <c r="A25" s="9" t="s">
        <v>2</v>
      </c>
      <c r="B25" s="24">
        <v>333333</v>
      </c>
    </row>
    <row r="26" ht="13.5" thickBot="1">
      <c r="B26" s="21"/>
    </row>
    <row r="27" spans="1:2" ht="16.5" thickBot="1">
      <c r="A27" s="27" t="s">
        <v>8</v>
      </c>
      <c r="B27" s="28"/>
    </row>
    <row r="28" spans="1:2" ht="12.75">
      <c r="A28" s="22" t="s">
        <v>1</v>
      </c>
      <c r="B28" s="23">
        <v>5000000</v>
      </c>
    </row>
    <row r="29" spans="1:2" ht="13.5" thickBot="1">
      <c r="A29" s="9" t="s">
        <v>2</v>
      </c>
      <c r="B29" s="24">
        <v>2000000</v>
      </c>
    </row>
    <row r="32" spans="1:7" ht="12.75">
      <c r="A32" s="25"/>
      <c r="B32" s="25"/>
      <c r="C32" s="25"/>
      <c r="D32" s="25"/>
      <c r="E32" s="25"/>
      <c r="F32" s="25"/>
      <c r="G32" s="25"/>
    </row>
  </sheetData>
  <sheetProtection/>
  <mergeCells count="8">
    <mergeCell ref="A32:G32"/>
    <mergeCell ref="I3:J3"/>
    <mergeCell ref="L3:M3"/>
    <mergeCell ref="A13:B13"/>
    <mergeCell ref="A27:B27"/>
    <mergeCell ref="A23:B23"/>
    <mergeCell ref="A20:B20"/>
    <mergeCell ref="A16:B16"/>
  </mergeCells>
  <printOptions horizontalCentered="1"/>
  <pageMargins left="0.75" right="0.75" top="1" bottom="1" header="0.5" footer="0.5"/>
  <pageSetup horizontalDpi="600" verticalDpi="600" orientation="portrait" r:id="rId4"/>
  <headerFooter alignWithMargins="0">
    <oddHeader>&amp;C&amp;"Times New Roman,Bold"&amp;12University Founder 
Dilution Spreadsheet</oddHeader>
    <oddFooter>&amp;Chutchlaw.com | (919) 829-9600</oddFooter>
  </headerFooter>
  <ignoredErrors>
    <ignoredError sqref="F7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 Coverly</dc:creator>
  <cp:keywords/>
  <dc:description/>
  <cp:lastModifiedBy>Jodi Coverly</cp:lastModifiedBy>
  <cp:lastPrinted>2019-02-07T16:12:00Z</cp:lastPrinted>
  <dcterms:created xsi:type="dcterms:W3CDTF">2010-04-12T19:36:47Z</dcterms:created>
  <dcterms:modified xsi:type="dcterms:W3CDTF">2019-03-04T16:47:37Z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